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5"/>
  <workbookPr/>
  <mc:AlternateContent xmlns:mc="http://schemas.openxmlformats.org/markup-compatibility/2006">
    <mc:Choice Requires="x15">
      <x15ac:absPath xmlns:x15ac="http://schemas.microsoft.com/office/spreadsheetml/2010/11/ac" url="N:\COMPRAS\THAIS\2023\00. Pregão\8. Térreo-Quadoo (23.0.000001844-9)\Edital\"/>
    </mc:Choice>
  </mc:AlternateContent>
  <xr:revisionPtr revIDLastSave="0" documentId="8_{95212A4F-8864-4484-98F5-C31966A7976B}" xr6:coauthVersionLast="36" xr6:coauthVersionMax="36" xr10:uidLastSave="{00000000-0000-0000-0000-000000000000}"/>
  <bookViews>
    <workbookView xWindow="-120" yWindow="-120" windowWidth="20730" windowHeight="11160" xr2:uid="{C95CFAA9-5239-436C-AE72-C998E906AF2D}"/>
  </bookViews>
  <sheets>
    <sheet name="Resumo" sheetId="6" r:id="rId1"/>
    <sheet name="Orçamento" sheetId="1" r:id="rId2"/>
    <sheet name="MC" sheetId="11" r:id="rId3"/>
    <sheet name="CPU" sheetId="3" r:id="rId4"/>
    <sheet name="COT." sheetId="4" r:id="rId5"/>
    <sheet name="BDI" sheetId="5" r:id="rId6"/>
    <sheet name="CRON." sheetId="2" r:id="rId7"/>
    <sheet name="ABC" sheetId="15" r:id="rId8"/>
  </sheets>
  <externalReferences>
    <externalReference r:id="rId9"/>
    <externalReference r:id="rId10"/>
    <externalReference r:id="rId11"/>
    <externalReference r:id="rId12"/>
    <externalReference r:id="rId13"/>
    <externalReference r:id="rId14"/>
  </externalReferences>
  <definedNames>
    <definedName name="_xlnm._FilterDatabase" localSheetId="7" hidden="1">ABC!$A$1:$A$162</definedName>
    <definedName name="_xlnm._FilterDatabase" localSheetId="1" hidden="1">Orçamento!$B$1:$B$219</definedName>
    <definedName name="_xlnm.Print_Area" localSheetId="7">ABC!$A$1:$G$162</definedName>
    <definedName name="_xlnm.Print_Area" localSheetId="5">BDI!$A$1:$AA$25</definedName>
    <definedName name="_xlnm.Print_Area" localSheetId="4">'COT.'!$A$1:$E$151</definedName>
    <definedName name="_xlnm.Print_Area" localSheetId="3">CPU!$A$1:$H$256</definedName>
    <definedName name="_xlnm.Print_Area" localSheetId="6">'CRON.'!$A$1:$I$100</definedName>
    <definedName name="_xlnm.Print_Area" localSheetId="1">Orçamento!$A$1:$J$215</definedName>
    <definedName name="_xlnm.Print_Area" localSheetId="0">Resumo!$A$1:$E$64</definedName>
    <definedName name="IMAGEM">INDEX([1]Imagens!$B$1:$B$7,MATCH([1]Resumo!$B$3,[1]Imagens!$A$1:$A$7,0))</definedName>
    <definedName name="IMAGEM_PREFEITURA">INDEX([1]Imagens!$H$17:$H$106,MATCH([1]Resumo!$B$2,[1]Imagens!$G$17:$G$106,0))</definedName>
    <definedName name="j">INDEX([2]Imagens!$H$17:$H$106,MATCH([2]Resumo!$B$2,[2]Imagens!$G$17:$G$106,0))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 i="4" l="1"/>
  <c r="J3" i="1"/>
  <c r="I3" i="15" s="1"/>
  <c r="G162" i="15"/>
  <c r="H123" i="15" s="1"/>
  <c r="I4" i="15"/>
  <c r="I2" i="15"/>
  <c r="E85" i="4"/>
  <c r="E90" i="4"/>
  <c r="J15" i="1"/>
  <c r="J16" i="1"/>
  <c r="J17" i="1"/>
  <c r="J18" i="1"/>
  <c r="J19" i="1"/>
  <c r="J20" i="1"/>
  <c r="J21" i="1"/>
  <c r="G201" i="1"/>
  <c r="G107" i="1"/>
  <c r="B138" i="3"/>
  <c r="C138" i="3"/>
  <c r="D138" i="3"/>
  <c r="E138" i="3"/>
  <c r="A138" i="3"/>
  <c r="H141" i="3"/>
  <c r="H140" i="3"/>
  <c r="G138" i="3" s="1"/>
  <c r="H138" i="3" s="1"/>
  <c r="H139" i="3"/>
  <c r="H87" i="15" l="1"/>
  <c r="H118" i="15"/>
  <c r="H51" i="15"/>
  <c r="H77" i="15"/>
  <c r="H120" i="15"/>
  <c r="H153" i="15"/>
  <c r="H155" i="15"/>
  <c r="H27" i="15"/>
  <c r="H147" i="15"/>
  <c r="H26" i="15"/>
  <c r="H66" i="15"/>
  <c r="H67" i="15"/>
  <c r="H132" i="15"/>
  <c r="H149" i="15"/>
  <c r="H15" i="15"/>
  <c r="H34" i="15"/>
  <c r="H128" i="15"/>
  <c r="H150" i="15"/>
  <c r="H102" i="15"/>
  <c r="H21" i="15"/>
  <c r="H44" i="15"/>
  <c r="H65" i="15"/>
  <c r="H45" i="15"/>
  <c r="H90" i="15"/>
  <c r="H64" i="15"/>
  <c r="H86" i="15"/>
  <c r="H83" i="15"/>
  <c r="H69" i="15"/>
  <c r="H85" i="15"/>
  <c r="H68" i="15"/>
  <c r="H19" i="15"/>
  <c r="H12" i="15"/>
  <c r="H18" i="15"/>
  <c r="H109" i="15"/>
  <c r="H53" i="15"/>
  <c r="H114" i="15"/>
  <c r="H107" i="15"/>
  <c r="H8" i="15"/>
  <c r="H125" i="15"/>
  <c r="H127" i="15"/>
  <c r="H108" i="15"/>
  <c r="H75" i="15"/>
  <c r="H78" i="15"/>
  <c r="H95" i="15"/>
  <c r="H16" i="15"/>
  <c r="H35" i="15"/>
  <c r="H20" i="15"/>
  <c r="H84" i="15"/>
  <c r="H73" i="15"/>
  <c r="H134" i="15"/>
  <c r="H54" i="15"/>
  <c r="H136" i="15"/>
  <c r="H138" i="15"/>
  <c r="H81" i="15"/>
  <c r="H137" i="15"/>
  <c r="H88" i="15"/>
  <c r="H91" i="15"/>
  <c r="H61" i="15"/>
  <c r="H141" i="15"/>
  <c r="H103" i="15"/>
  <c r="H112" i="15"/>
  <c r="H160" i="15"/>
  <c r="H9" i="15"/>
  <c r="H40" i="15"/>
  <c r="H56" i="15"/>
  <c r="H131" i="15"/>
  <c r="H99" i="15"/>
  <c r="H135" i="15"/>
  <c r="H96" i="15"/>
  <c r="H59" i="15"/>
  <c r="H115" i="15"/>
  <c r="H13" i="15"/>
  <c r="H25" i="15"/>
  <c r="H30" i="15"/>
  <c r="H41" i="15"/>
  <c r="H48" i="15"/>
  <c r="H52" i="15"/>
  <c r="H122" i="15"/>
  <c r="H80" i="15"/>
  <c r="H38" i="15"/>
  <c r="H46" i="15"/>
  <c r="H97" i="15"/>
  <c r="H104" i="15"/>
  <c r="H17" i="15"/>
  <c r="H63" i="15"/>
  <c r="H151" i="15"/>
  <c r="H110" i="15"/>
  <c r="H130" i="15"/>
  <c r="H124" i="15"/>
  <c r="H105" i="15"/>
  <c r="H71" i="15"/>
  <c r="H158" i="15"/>
  <c r="H117" i="15"/>
  <c r="H42" i="15"/>
  <c r="H133" i="15"/>
  <c r="H57" i="15"/>
  <c r="H79" i="15"/>
  <c r="H159" i="15"/>
  <c r="H43" i="15"/>
  <c r="H29" i="15"/>
  <c r="H143" i="15"/>
  <c r="H70" i="15"/>
  <c r="H49" i="15"/>
  <c r="H140" i="15"/>
  <c r="H154" i="15"/>
  <c r="H100" i="15"/>
  <c r="H94" i="15"/>
  <c r="H144" i="15"/>
  <c r="H92" i="15"/>
  <c r="H60" i="15"/>
  <c r="H11" i="15"/>
  <c r="H37" i="15"/>
  <c r="H32" i="15"/>
  <c r="H58" i="15"/>
  <c r="H10" i="15"/>
  <c r="H98" i="15"/>
  <c r="H126" i="15"/>
  <c r="H72" i="15"/>
  <c r="H148" i="15"/>
  <c r="H50" i="15"/>
  <c r="H142" i="15"/>
  <c r="H116" i="15"/>
  <c r="H47" i="15"/>
  <c r="H14" i="15"/>
  <c r="H62" i="15"/>
  <c r="H145" i="15"/>
  <c r="H89" i="15"/>
  <c r="H152" i="15"/>
  <c r="H33" i="15"/>
  <c r="H24" i="15"/>
  <c r="H129" i="15"/>
  <c r="H93" i="15"/>
  <c r="H39" i="15"/>
  <c r="H119" i="15"/>
  <c r="H23" i="15"/>
  <c r="H28" i="15"/>
  <c r="H76" i="15"/>
  <c r="H7" i="15"/>
  <c r="I7" i="15" s="1"/>
  <c r="I8" i="15" s="1"/>
  <c r="H31" i="15"/>
  <c r="H36" i="15"/>
  <c r="H106" i="15"/>
  <c r="H74" i="15"/>
  <c r="H113" i="15"/>
  <c r="H157" i="15"/>
  <c r="H55" i="15"/>
  <c r="H22" i="15"/>
  <c r="H156" i="15"/>
  <c r="H82" i="15"/>
  <c r="H146" i="15"/>
  <c r="H139" i="15"/>
  <c r="H111" i="15"/>
  <c r="H101" i="15"/>
  <c r="H121" i="15"/>
  <c r="I9" i="15" l="1"/>
  <c r="I10" i="15" s="1"/>
  <c r="I11" i="15" s="1"/>
  <c r="I12" i="15" s="1"/>
  <c r="I13" i="15" s="1"/>
  <c r="I14" i="15" s="1"/>
  <c r="I15" i="15" s="1"/>
  <c r="I16" i="15" s="1"/>
  <c r="I17" i="15" s="1"/>
  <c r="I18" i="15" s="1"/>
  <c r="I19" i="15" s="1"/>
  <c r="I20" i="15" s="1"/>
  <c r="I21" i="15" s="1"/>
  <c r="I22" i="15" s="1"/>
  <c r="I23" i="15" s="1"/>
  <c r="I24" i="15" s="1"/>
  <c r="I25" i="15" s="1"/>
  <c r="I26" i="15" s="1"/>
  <c r="I27" i="15" s="1"/>
  <c r="I28" i="15" s="1"/>
  <c r="I29" i="15" s="1"/>
  <c r="I30" i="15" s="1"/>
  <c r="I31" i="15" s="1"/>
  <c r="I32" i="15" s="1"/>
  <c r="I33" i="15" s="1"/>
  <c r="I34" i="15" s="1"/>
  <c r="I35" i="15" s="1"/>
  <c r="I36" i="15" s="1"/>
  <c r="I37" i="15" s="1"/>
  <c r="I38" i="15" s="1"/>
  <c r="I39" i="15" s="1"/>
  <c r="I40" i="15" s="1"/>
  <c r="I41" i="15" s="1"/>
  <c r="I42" i="15" s="1"/>
  <c r="I43" i="15" s="1"/>
  <c r="I44" i="15" s="1"/>
  <c r="I45" i="15" s="1"/>
  <c r="I46" i="15" s="1"/>
  <c r="I47" i="15" s="1"/>
  <c r="I48" i="15" s="1"/>
  <c r="I49" i="15" s="1"/>
  <c r="I50" i="15" s="1"/>
  <c r="I51" i="15" s="1"/>
  <c r="I52" i="15" s="1"/>
  <c r="I53" i="15" s="1"/>
  <c r="I54" i="15" s="1"/>
  <c r="I55" i="15" s="1"/>
  <c r="I56" i="15" s="1"/>
  <c r="I57" i="15" s="1"/>
  <c r="I58" i="15" s="1"/>
  <c r="I59" i="15" s="1"/>
  <c r="I60" i="15" s="1"/>
  <c r="I61" i="15" s="1"/>
  <c r="I62" i="15" s="1"/>
  <c r="I63" i="15" s="1"/>
  <c r="I64" i="15" s="1"/>
  <c r="I65" i="15" s="1"/>
  <c r="I66" i="15" s="1"/>
  <c r="I67" i="15" s="1"/>
  <c r="I68" i="15" s="1"/>
  <c r="I69" i="15" s="1"/>
  <c r="I70" i="15" s="1"/>
  <c r="I71" i="15" s="1"/>
  <c r="I72" i="15" s="1"/>
  <c r="I73" i="15" s="1"/>
  <c r="I74" i="15" s="1"/>
  <c r="I75" i="15" s="1"/>
  <c r="I76" i="15" s="1"/>
  <c r="I77" i="15" s="1"/>
  <c r="I78" i="15" s="1"/>
  <c r="I79" i="15" s="1"/>
  <c r="I80" i="15" s="1"/>
  <c r="I81" i="15" s="1"/>
  <c r="I82" i="15" s="1"/>
  <c r="I83" i="15" s="1"/>
  <c r="I84" i="15" s="1"/>
  <c r="I85" i="15" s="1"/>
  <c r="I86" i="15" s="1"/>
  <c r="I87" i="15" s="1"/>
  <c r="I88" i="15" s="1"/>
  <c r="I89" i="15" s="1"/>
  <c r="I90" i="15" s="1"/>
  <c r="I91" i="15" s="1"/>
  <c r="I92" i="15" s="1"/>
  <c r="I93" i="15" s="1"/>
  <c r="I94" i="15" s="1"/>
  <c r="I95" i="15" s="1"/>
  <c r="I96" i="15" s="1"/>
  <c r="I97" i="15" s="1"/>
  <c r="I98" i="15" s="1"/>
  <c r="I99" i="15" s="1"/>
  <c r="I100" i="15" s="1"/>
  <c r="I101" i="15" s="1"/>
  <c r="I102" i="15" s="1"/>
  <c r="I103" i="15" s="1"/>
  <c r="I104" i="15" s="1"/>
  <c r="I105" i="15" s="1"/>
  <c r="I106" i="15" s="1"/>
  <c r="I107" i="15" s="1"/>
  <c r="I108" i="15" s="1"/>
  <c r="I109" i="15" s="1"/>
  <c r="I110" i="15" s="1"/>
  <c r="I111" i="15" s="1"/>
  <c r="I112" i="15" s="1"/>
  <c r="I113" i="15" s="1"/>
  <c r="I114" i="15" s="1"/>
  <c r="I115" i="15" s="1"/>
  <c r="I116" i="15" s="1"/>
  <c r="I117" i="15" s="1"/>
  <c r="I118" i="15" s="1"/>
  <c r="I119" i="15" s="1"/>
  <c r="I120" i="15" s="1"/>
  <c r="I121" i="15" s="1"/>
  <c r="I122" i="15" s="1"/>
  <c r="I123" i="15" s="1"/>
  <c r="I124" i="15" s="1"/>
  <c r="I125" i="15" s="1"/>
  <c r="I126" i="15" s="1"/>
  <c r="I127" i="15" s="1"/>
  <c r="I128" i="15" s="1"/>
  <c r="I129" i="15" s="1"/>
  <c r="I130" i="15" s="1"/>
  <c r="I131" i="15" s="1"/>
  <c r="I132" i="15" s="1"/>
  <c r="I133" i="15" s="1"/>
  <c r="I134" i="15" s="1"/>
  <c r="I135" i="15" s="1"/>
  <c r="I136" i="15" s="1"/>
  <c r="I137" i="15" s="1"/>
  <c r="I138" i="15" s="1"/>
  <c r="I139" i="15" s="1"/>
  <c r="I140" i="15" s="1"/>
  <c r="I141" i="15" s="1"/>
  <c r="I142" i="15" s="1"/>
  <c r="I143" i="15" s="1"/>
  <c r="I144" i="15" s="1"/>
  <c r="I145" i="15" s="1"/>
  <c r="I146" i="15" s="1"/>
  <c r="I147" i="15" s="1"/>
  <c r="I148" i="15" s="1"/>
  <c r="I149" i="15" s="1"/>
  <c r="I150" i="15" s="1"/>
  <c r="I151" i="15" s="1"/>
  <c r="I152" i="15" s="1"/>
  <c r="I153" i="15" s="1"/>
  <c r="I154" i="15" s="1"/>
  <c r="I155" i="15" s="1"/>
  <c r="I156" i="15" s="1"/>
  <c r="I157" i="15" s="1"/>
  <c r="I158" i="15" s="1"/>
  <c r="I159" i="15" s="1"/>
  <c r="I160" i="15" s="1"/>
  <c r="H162" i="15"/>
  <c r="H249" i="3"/>
  <c r="G248" i="3" s="1"/>
  <c r="H248" i="3" s="1"/>
  <c r="E248" i="3"/>
  <c r="D248" i="3"/>
  <c r="C248" i="3"/>
  <c r="B248" i="3"/>
  <c r="A248" i="3"/>
  <c r="H246" i="3"/>
  <c r="G245" i="3" s="1"/>
  <c r="E245" i="3"/>
  <c r="D245" i="3"/>
  <c r="C245" i="3"/>
  <c r="B245" i="3"/>
  <c r="A245" i="3"/>
  <c r="E134" i="3"/>
  <c r="B134" i="3"/>
  <c r="C134" i="3"/>
  <c r="D134" i="3"/>
  <c r="A134" i="3"/>
  <c r="F136" i="3"/>
  <c r="H136" i="3" s="1"/>
  <c r="H135" i="3"/>
  <c r="B13" i="3"/>
  <c r="C13" i="3"/>
  <c r="D13" i="3"/>
  <c r="E13" i="3"/>
  <c r="A13" i="3"/>
  <c r="B16" i="3"/>
  <c r="C16" i="3"/>
  <c r="D16" i="3"/>
  <c r="E16" i="3"/>
  <c r="A16" i="3"/>
  <c r="B8" i="3"/>
  <c r="C8" i="3"/>
  <c r="D8" i="3"/>
  <c r="E8" i="3"/>
  <c r="A8" i="3"/>
  <c r="H245" i="3" l="1"/>
  <c r="G200" i="1" s="1"/>
  <c r="H17" i="3" l="1"/>
  <c r="G16" i="3" s="1"/>
  <c r="H16" i="3" s="1"/>
  <c r="G32" i="1" s="1"/>
  <c r="E236" i="3"/>
  <c r="B236" i="3"/>
  <c r="C236" i="3"/>
  <c r="D236" i="3"/>
  <c r="A236" i="3"/>
  <c r="F162" i="1"/>
  <c r="C170" i="11"/>
  <c r="A170" i="11"/>
  <c r="J170" i="11"/>
  <c r="F42" i="1"/>
  <c r="I85" i="11"/>
  <c r="I84" i="11"/>
  <c r="C81" i="11"/>
  <c r="A81" i="11"/>
  <c r="A84" i="11"/>
  <c r="C84" i="11"/>
  <c r="J37" i="11" l="1"/>
  <c r="B52" i="6"/>
  <c r="C52" i="6"/>
  <c r="E89" i="4"/>
  <c r="E84" i="4"/>
  <c r="E74" i="4"/>
  <c r="E79" i="4"/>
  <c r="E76" i="4"/>
  <c r="J213" i="11"/>
  <c r="I167" i="1"/>
  <c r="I168" i="1"/>
  <c r="I169" i="1"/>
  <c r="I170" i="1"/>
  <c r="F197" i="3"/>
  <c r="H197" i="3" s="1"/>
  <c r="H209" i="3"/>
  <c r="H226" i="3"/>
  <c r="H225" i="3"/>
  <c r="H224" i="3"/>
  <c r="B211" i="3"/>
  <c r="C211" i="3"/>
  <c r="D211" i="3"/>
  <c r="A211" i="3"/>
  <c r="F213" i="3"/>
  <c r="H213" i="3" s="1"/>
  <c r="F212" i="3"/>
  <c r="H212" i="3" s="1"/>
  <c r="E211" i="3"/>
  <c r="B215" i="3"/>
  <c r="C215" i="3"/>
  <c r="D215" i="3"/>
  <c r="E215" i="3"/>
  <c r="A215" i="3"/>
  <c r="H223" i="3"/>
  <c r="H222" i="3"/>
  <c r="F221" i="3"/>
  <c r="H221" i="3" s="1"/>
  <c r="D220" i="3"/>
  <c r="B220" i="3"/>
  <c r="H219" i="3"/>
  <c r="H218" i="3"/>
  <c r="F217" i="3"/>
  <c r="H217" i="3" s="1"/>
  <c r="F216" i="3"/>
  <c r="H216" i="3" s="1"/>
  <c r="G211" i="3" l="1"/>
  <c r="H211" i="3" s="1"/>
  <c r="G176" i="1" s="1"/>
  <c r="I176" i="1" s="1"/>
  <c r="J10" i="11" l="1"/>
  <c r="B93" i="2"/>
  <c r="I93" i="2"/>
  <c r="B57" i="2"/>
  <c r="I57" i="2"/>
  <c r="F151" i="3"/>
  <c r="F152" i="3" s="1"/>
  <c r="H152" i="3" s="1"/>
  <c r="F153" i="3"/>
  <c r="H153" i="3" s="1"/>
  <c r="B150" i="3"/>
  <c r="C150" i="3"/>
  <c r="D150" i="3"/>
  <c r="E150" i="3"/>
  <c r="A150" i="3"/>
  <c r="F126" i="1"/>
  <c r="I126" i="1" s="1"/>
  <c r="F180" i="1"/>
  <c r="D199" i="3"/>
  <c r="D193" i="3"/>
  <c r="B193" i="3"/>
  <c r="B205" i="3"/>
  <c r="D205" i="3"/>
  <c r="A189" i="4"/>
  <c r="A190" i="4" s="1"/>
  <c r="A191" i="4" s="1"/>
  <c r="E188" i="4"/>
  <c r="H151" i="3" l="1"/>
  <c r="G205" i="3"/>
  <c r="G220" i="3"/>
  <c r="H220" i="3" s="1"/>
  <c r="G215" i="3" s="1"/>
  <c r="G150" i="3"/>
  <c r="H150" i="3" s="1"/>
  <c r="G127" i="1" s="1"/>
  <c r="I127" i="1" s="1"/>
  <c r="I125" i="1" s="1"/>
  <c r="G193" i="3"/>
  <c r="H193" i="3" s="1"/>
  <c r="H215" i="3" l="1"/>
  <c r="G177" i="1" l="1"/>
  <c r="I177" i="1" s="1"/>
  <c r="H176" i="1"/>
  <c r="J176" i="1" s="1"/>
  <c r="F204" i="1"/>
  <c r="I204" i="1" s="1"/>
  <c r="J249" i="11"/>
  <c r="J248" i="11" s="1"/>
  <c r="F205" i="1" s="1"/>
  <c r="I205" i="1" s="1"/>
  <c r="J245" i="11"/>
  <c r="J244" i="11" s="1"/>
  <c r="I248" i="11"/>
  <c r="I244" i="11"/>
  <c r="C243" i="11"/>
  <c r="J237" i="11"/>
  <c r="C248" i="11"/>
  <c r="C244" i="11"/>
  <c r="A265" i="11"/>
  <c r="A262" i="11"/>
  <c r="A259" i="11"/>
  <c r="A253" i="11"/>
  <c r="A252" i="11"/>
  <c r="A248" i="11"/>
  <c r="A244" i="11"/>
  <c r="A243" i="11"/>
  <c r="H21" i="3"/>
  <c r="H23" i="3"/>
  <c r="B19" i="3"/>
  <c r="C19" i="3"/>
  <c r="D19" i="3"/>
  <c r="E19" i="3"/>
  <c r="A19" i="3"/>
  <c r="H22" i="3"/>
  <c r="H20" i="3"/>
  <c r="I3" i="2"/>
  <c r="B148" i="3"/>
  <c r="B143" i="3"/>
  <c r="C143" i="3"/>
  <c r="D143" i="3"/>
  <c r="A143" i="3"/>
  <c r="I110" i="1"/>
  <c r="H147" i="3"/>
  <c r="H146" i="3"/>
  <c r="H145" i="3"/>
  <c r="H144" i="3"/>
  <c r="E143" i="3"/>
  <c r="A183" i="4"/>
  <c r="A184" i="4" s="1"/>
  <c r="A185" i="4" s="1"/>
  <c r="E182" i="4"/>
  <c r="G148" i="3" s="1"/>
  <c r="H177" i="1" l="1"/>
  <c r="J177" i="1" s="1"/>
  <c r="I203" i="1"/>
  <c r="H148" i="3"/>
  <c r="G143" i="3" s="1"/>
  <c r="H143" i="3" s="1"/>
  <c r="G111" i="1" l="1"/>
  <c r="F66" i="1"/>
  <c r="F104" i="1"/>
  <c r="I155" i="1"/>
  <c r="F114" i="1"/>
  <c r="F113" i="1"/>
  <c r="F78" i="1"/>
  <c r="F76" i="1"/>
  <c r="F77" i="1"/>
  <c r="F100" i="1"/>
  <c r="C153" i="11"/>
  <c r="A153" i="11"/>
  <c r="J153" i="11"/>
  <c r="F70" i="1"/>
  <c r="E155" i="3" l="1"/>
  <c r="D155" i="3"/>
  <c r="C155" i="3"/>
  <c r="B155" i="3"/>
  <c r="A155" i="3"/>
  <c r="D158" i="3"/>
  <c r="B158" i="3"/>
  <c r="E178" i="4"/>
  <c r="B136" i="1"/>
  <c r="I131" i="1"/>
  <c r="I132" i="1"/>
  <c r="E153" i="4"/>
  <c r="E152" i="4" s="1"/>
  <c r="I150" i="1"/>
  <c r="I151" i="1"/>
  <c r="F147" i="1"/>
  <c r="I147" i="1" s="1"/>
  <c r="F146" i="1"/>
  <c r="I146" i="1" s="1"/>
  <c r="B138" i="1"/>
  <c r="B115" i="3"/>
  <c r="D115" i="3"/>
  <c r="E161" i="4"/>
  <c r="A165" i="4"/>
  <c r="A166" i="4" s="1"/>
  <c r="A167" i="4" s="1"/>
  <c r="E164" i="4"/>
  <c r="G115" i="3" s="1"/>
  <c r="H115" i="3" s="1"/>
  <c r="A177" i="4"/>
  <c r="E176" i="4"/>
  <c r="G158" i="3" s="1"/>
  <c r="A171" i="4"/>
  <c r="A172" i="4" s="1"/>
  <c r="A173" i="4" s="1"/>
  <c r="E170" i="4"/>
  <c r="A159" i="4"/>
  <c r="A160" i="4" s="1"/>
  <c r="A161" i="4" s="1"/>
  <c r="E158" i="4"/>
  <c r="A153" i="4"/>
  <c r="A154" i="4" s="1"/>
  <c r="A155" i="4" s="1"/>
  <c r="B185" i="3"/>
  <c r="A198" i="11"/>
  <c r="A195" i="11"/>
  <c r="A192" i="11"/>
  <c r="A189" i="11"/>
  <c r="A186" i="11"/>
  <c r="J30" i="11"/>
  <c r="F26" i="1" s="1"/>
  <c r="C30" i="11"/>
  <c r="A30" i="11"/>
  <c r="F16" i="1"/>
  <c r="F18" i="1" s="1"/>
  <c r="I18" i="1" s="1"/>
  <c r="J263" i="11"/>
  <c r="J260" i="11"/>
  <c r="J241" i="11"/>
  <c r="J226" i="11"/>
  <c r="J225" i="11"/>
  <c r="J224" i="11"/>
  <c r="J223" i="11"/>
  <c r="J212" i="11"/>
  <c r="J210" i="11"/>
  <c r="B97" i="3"/>
  <c r="C97" i="3"/>
  <c r="A97" i="3"/>
  <c r="B102" i="3"/>
  <c r="H101" i="3"/>
  <c r="H100" i="3"/>
  <c r="H99" i="3"/>
  <c r="H98" i="3"/>
  <c r="J149" i="11"/>
  <c r="J146" i="11"/>
  <c r="J145" i="11" s="1"/>
  <c r="F61" i="1" s="1"/>
  <c r="C142" i="11"/>
  <c r="A142" i="11"/>
  <c r="C148" i="11"/>
  <c r="A148" i="11"/>
  <c r="C145" i="11"/>
  <c r="A145" i="11"/>
  <c r="J148" i="11"/>
  <c r="F62" i="1" s="1"/>
  <c r="J136" i="11"/>
  <c r="J107" i="11"/>
  <c r="J124" i="11"/>
  <c r="J121" i="11"/>
  <c r="J120" i="11"/>
  <c r="J119" i="11"/>
  <c r="J118" i="11"/>
  <c r="J117" i="11"/>
  <c r="J114" i="11"/>
  <c r="J113" i="11"/>
  <c r="J112" i="11"/>
  <c r="J111" i="11"/>
  <c r="J110" i="11"/>
  <c r="H60" i="3"/>
  <c r="H53" i="3"/>
  <c r="H52" i="3"/>
  <c r="H51" i="3"/>
  <c r="H50" i="3"/>
  <c r="H49" i="3"/>
  <c r="H48" i="3"/>
  <c r="H56" i="3"/>
  <c r="H55" i="3"/>
  <c r="H54" i="3"/>
  <c r="H58" i="3"/>
  <c r="H57" i="3"/>
  <c r="G47" i="3"/>
  <c r="H47" i="3" s="1"/>
  <c r="E46" i="3"/>
  <c r="C46" i="3"/>
  <c r="B46" i="3"/>
  <c r="A46" i="3"/>
  <c r="H61" i="3"/>
  <c r="H59" i="3"/>
  <c r="J69" i="11"/>
  <c r="J58" i="11"/>
  <c r="F34" i="1" s="1"/>
  <c r="A55" i="11"/>
  <c r="C55" i="11"/>
  <c r="C58" i="11"/>
  <c r="A58" i="11"/>
  <c r="J53" i="11"/>
  <c r="B169" i="3"/>
  <c r="E47" i="4"/>
  <c r="E46" i="4"/>
  <c r="H10" i="3"/>
  <c r="H9" i="3"/>
  <c r="I156" i="1"/>
  <c r="I157" i="1"/>
  <c r="I158" i="1"/>
  <c r="I153" i="1"/>
  <c r="I149" i="1"/>
  <c r="I133" i="1"/>
  <c r="I134" i="1"/>
  <c r="I137" i="1"/>
  <c r="I135" i="1"/>
  <c r="I120" i="1"/>
  <c r="I121" i="1"/>
  <c r="I122" i="1"/>
  <c r="I114" i="1"/>
  <c r="I115" i="1"/>
  <c r="I116" i="1"/>
  <c r="I117" i="1"/>
  <c r="I111" i="1"/>
  <c r="I93" i="1"/>
  <c r="I94" i="1"/>
  <c r="I95" i="1"/>
  <c r="I88" i="1"/>
  <c r="I89" i="1"/>
  <c r="I90" i="1"/>
  <c r="I76" i="1"/>
  <c r="I77" i="1"/>
  <c r="I78" i="1"/>
  <c r="I79" i="1"/>
  <c r="I80" i="1"/>
  <c r="I81" i="1"/>
  <c r="I83" i="1"/>
  <c r="I68" i="1"/>
  <c r="I71" i="1"/>
  <c r="I73" i="1"/>
  <c r="I74" i="1"/>
  <c r="I15" i="1"/>
  <c r="I17" i="1"/>
  <c r="I19" i="1"/>
  <c r="I21" i="1"/>
  <c r="I166" i="1"/>
  <c r="I144" i="1"/>
  <c r="I143" i="1" s="1"/>
  <c r="I140" i="1"/>
  <c r="I129" i="1"/>
  <c r="I119" i="1"/>
  <c r="I113" i="1"/>
  <c r="I109" i="1"/>
  <c r="J104" i="1"/>
  <c r="J103" i="1" s="1"/>
  <c r="I104" i="1"/>
  <c r="I103" i="1" s="1"/>
  <c r="I92" i="1"/>
  <c r="I87" i="1"/>
  <c r="I66" i="1"/>
  <c r="G138" i="1" l="1"/>
  <c r="A178" i="4"/>
  <c r="A179" i="4" s="1"/>
  <c r="G136" i="1"/>
  <c r="I136" i="1" s="1"/>
  <c r="F20" i="1"/>
  <c r="I20" i="1" s="1"/>
  <c r="I16" i="1"/>
  <c r="I65" i="1"/>
  <c r="I154" i="1"/>
  <c r="G8" i="3"/>
  <c r="G46" i="3"/>
  <c r="H46" i="3" s="1"/>
  <c r="G48" i="1" s="1"/>
  <c r="I108" i="1"/>
  <c r="I112" i="1"/>
  <c r="I118" i="1"/>
  <c r="I86" i="1"/>
  <c r="B252" i="3"/>
  <c r="A113" i="3"/>
  <c r="A109" i="3"/>
  <c r="A91" i="3"/>
  <c r="J4" i="1" l="1"/>
  <c r="I70" i="1"/>
  <c r="B72" i="1"/>
  <c r="I82" i="1"/>
  <c r="I84" i="1"/>
  <c r="I106" i="1"/>
  <c r="I138" i="1"/>
  <c r="I141" i="1"/>
  <c r="I142" i="1"/>
  <c r="I152" i="1"/>
  <c r="B184" i="1"/>
  <c r="B185" i="1"/>
  <c r="B186" i="1"/>
  <c r="B187" i="1"/>
  <c r="B197" i="1"/>
  <c r="F209" i="1"/>
  <c r="I209" i="1" s="1"/>
  <c r="F210" i="1"/>
  <c r="I210" i="1" s="1"/>
  <c r="E146" i="4"/>
  <c r="E134" i="4"/>
  <c r="E122" i="4"/>
  <c r="E116" i="4"/>
  <c r="E110" i="4"/>
  <c r="G185" i="3" s="1"/>
  <c r="E104" i="4"/>
  <c r="E98" i="4"/>
  <c r="E68" i="4"/>
  <c r="E50" i="4"/>
  <c r="E44" i="4"/>
  <c r="E38" i="4"/>
  <c r="E129" i="4"/>
  <c r="E128" i="4" s="1"/>
  <c r="C239" i="11"/>
  <c r="A239" i="11"/>
  <c r="C236" i="11"/>
  <c r="A236" i="11"/>
  <c r="J239" i="11"/>
  <c r="F201" i="1" s="1"/>
  <c r="C192" i="11"/>
  <c r="C198" i="11"/>
  <c r="C195" i="11"/>
  <c r="J198" i="11"/>
  <c r="J195" i="11"/>
  <c r="C189" i="11"/>
  <c r="J192" i="11"/>
  <c r="J189" i="11"/>
  <c r="C176" i="11"/>
  <c r="A176" i="11"/>
  <c r="J176" i="11"/>
  <c r="J164" i="11"/>
  <c r="F161" i="1" s="1"/>
  <c r="C164" i="11"/>
  <c r="A164" i="11"/>
  <c r="C163" i="11"/>
  <c r="A123" i="11"/>
  <c r="A116" i="11"/>
  <c r="A109" i="11"/>
  <c r="A106" i="11"/>
  <c r="A103" i="11"/>
  <c r="A100" i="11"/>
  <c r="A97" i="11"/>
  <c r="A94" i="11"/>
  <c r="A71" i="11"/>
  <c r="A65" i="11"/>
  <c r="A61" i="11"/>
  <c r="A51" i="11"/>
  <c r="A45" i="11"/>
  <c r="A42" i="11"/>
  <c r="A39" i="11"/>
  <c r="A36" i="11"/>
  <c r="J9" i="11"/>
  <c r="F10" i="1" s="1"/>
  <c r="I10" i="1" s="1"/>
  <c r="J12" i="11"/>
  <c r="F11" i="1" s="1"/>
  <c r="I11" i="1" s="1"/>
  <c r="A147" i="4"/>
  <c r="A148" i="4" s="1"/>
  <c r="A149" i="4" s="1"/>
  <c r="B107" i="3"/>
  <c r="E141" i="4"/>
  <c r="E140" i="4" s="1"/>
  <c r="A141" i="4"/>
  <c r="A142" i="4" s="1"/>
  <c r="A143" i="4" s="1"/>
  <c r="A135" i="4"/>
  <c r="A136" i="4" s="1"/>
  <c r="A137" i="4" s="1"/>
  <c r="G72" i="1" l="1"/>
  <c r="I72" i="1" s="1"/>
  <c r="G102" i="3"/>
  <c r="H102" i="3" s="1"/>
  <c r="G97" i="3" s="1"/>
  <c r="H97" i="3" s="1"/>
  <c r="H24" i="3"/>
  <c r="G19" i="3" s="1"/>
  <c r="H19" i="3" s="1"/>
  <c r="G42" i="1" s="1"/>
  <c r="G107" i="3"/>
  <c r="I139" i="1"/>
  <c r="J236" i="11"/>
  <c r="F200" i="1" s="1"/>
  <c r="B96" i="2"/>
  <c r="B90" i="2"/>
  <c r="B87" i="2"/>
  <c r="B84" i="2"/>
  <c r="B81" i="2"/>
  <c r="B78" i="2"/>
  <c r="B75" i="2"/>
  <c r="B72" i="2"/>
  <c r="B69" i="2"/>
  <c r="B66" i="2"/>
  <c r="B63" i="2"/>
  <c r="B60" i="2"/>
  <c r="I72" i="2"/>
  <c r="I69" i="2"/>
  <c r="I66" i="2"/>
  <c r="I63" i="2"/>
  <c r="I60" i="2"/>
  <c r="B54" i="2"/>
  <c r="I54" i="2"/>
  <c r="B51" i="2"/>
  <c r="B48" i="2"/>
  <c r="B45" i="2"/>
  <c r="I51" i="2"/>
  <c r="I48" i="2"/>
  <c r="B42" i="2"/>
  <c r="B39" i="2"/>
  <c r="B36" i="2"/>
  <c r="B33" i="2"/>
  <c r="I39" i="2"/>
  <c r="I36" i="2"/>
  <c r="I33" i="2"/>
  <c r="B30" i="2"/>
  <c r="B27" i="2"/>
  <c r="B12" i="2"/>
  <c r="B9" i="2"/>
  <c r="J229" i="11"/>
  <c r="J228" i="11" s="1"/>
  <c r="F194" i="1" s="1"/>
  <c r="I194" i="1" s="1"/>
  <c r="I228" i="11"/>
  <c r="C228" i="11"/>
  <c r="B228" i="11"/>
  <c r="A228" i="11"/>
  <c r="H238" i="3"/>
  <c r="H237" i="3"/>
  <c r="H234" i="3"/>
  <c r="B231" i="3"/>
  <c r="C231" i="3"/>
  <c r="E231" i="3"/>
  <c r="A231" i="3"/>
  <c r="H233" i="3"/>
  <c r="H232" i="3"/>
  <c r="F206" i="3"/>
  <c r="H206" i="3" s="1"/>
  <c r="B227" i="3"/>
  <c r="C227" i="3"/>
  <c r="E227" i="3"/>
  <c r="A227" i="3"/>
  <c r="F228" i="3"/>
  <c r="H228" i="3" s="1"/>
  <c r="H229" i="3"/>
  <c r="H208" i="3"/>
  <c r="H205" i="3"/>
  <c r="F201" i="3"/>
  <c r="H201" i="3" s="1"/>
  <c r="F200" i="3"/>
  <c r="H200" i="3" s="1"/>
  <c r="B199" i="3"/>
  <c r="C199" i="3"/>
  <c r="E199" i="3"/>
  <c r="A199" i="3"/>
  <c r="H207" i="3"/>
  <c r="H204" i="3"/>
  <c r="H203" i="3"/>
  <c r="H202" i="3"/>
  <c r="B196" i="3"/>
  <c r="H195" i="3"/>
  <c r="H194" i="3"/>
  <c r="H192" i="3"/>
  <c r="B187" i="3"/>
  <c r="C187" i="3"/>
  <c r="E187" i="3"/>
  <c r="A187" i="3"/>
  <c r="H189" i="3"/>
  <c r="H188" i="3"/>
  <c r="B184" i="3"/>
  <c r="B181" i="3"/>
  <c r="C181" i="3"/>
  <c r="E181" i="3"/>
  <c r="A181" i="3"/>
  <c r="H183" i="3"/>
  <c r="H182" i="3"/>
  <c r="B177" i="3"/>
  <c r="C177" i="3"/>
  <c r="E177" i="3"/>
  <c r="A177" i="3"/>
  <c r="B179" i="3"/>
  <c r="B175" i="3"/>
  <c r="H178" i="3"/>
  <c r="B173" i="3"/>
  <c r="C173" i="3"/>
  <c r="E173" i="3"/>
  <c r="A173" i="3"/>
  <c r="H174" i="3"/>
  <c r="A129" i="4"/>
  <c r="A130" i="4" s="1"/>
  <c r="A131" i="4" s="1"/>
  <c r="G196" i="3"/>
  <c r="H196" i="3" s="1"/>
  <c r="A111" i="4"/>
  <c r="A112" i="4" s="1"/>
  <c r="A113" i="4" s="1"/>
  <c r="A105" i="4"/>
  <c r="A106" i="4" s="1"/>
  <c r="A107" i="4" s="1"/>
  <c r="A123" i="4"/>
  <c r="A124" i="4" s="1"/>
  <c r="A125" i="4" s="1"/>
  <c r="G179" i="3"/>
  <c r="A117" i="4"/>
  <c r="A118" i="4" s="1"/>
  <c r="A119" i="4" s="1"/>
  <c r="B31" i="6"/>
  <c r="B28" i="6"/>
  <c r="B25" i="6"/>
  <c r="B22" i="6"/>
  <c r="B19" i="6"/>
  <c r="B16" i="6"/>
  <c r="B13" i="6"/>
  <c r="B10" i="6"/>
  <c r="B7" i="6"/>
  <c r="J267" i="11"/>
  <c r="J262" i="11"/>
  <c r="J259" i="11"/>
  <c r="J255" i="11"/>
  <c r="J253" i="11" s="1"/>
  <c r="F208" i="1" s="1"/>
  <c r="C235" i="11"/>
  <c r="A129" i="3"/>
  <c r="C129" i="3"/>
  <c r="E129" i="3"/>
  <c r="B129" i="3"/>
  <c r="H167" i="3"/>
  <c r="H166" i="3"/>
  <c r="B165" i="3"/>
  <c r="C165" i="3"/>
  <c r="E165" i="3"/>
  <c r="A165" i="3"/>
  <c r="C169" i="3"/>
  <c r="E169" i="3"/>
  <c r="A169" i="3"/>
  <c r="H171" i="3"/>
  <c r="H170" i="3"/>
  <c r="H158" i="3"/>
  <c r="H157" i="3"/>
  <c r="H156" i="3"/>
  <c r="B160" i="3"/>
  <c r="C160" i="3"/>
  <c r="E160" i="3"/>
  <c r="A160" i="3"/>
  <c r="H163" i="3"/>
  <c r="H162" i="3"/>
  <c r="H161" i="3"/>
  <c r="G199" i="3" l="1"/>
  <c r="H199" i="3" s="1"/>
  <c r="G61" i="1"/>
  <c r="G236" i="3"/>
  <c r="H236" i="3" s="1"/>
  <c r="G231" i="3"/>
  <c r="H231" i="3" s="1"/>
  <c r="G179" i="1" s="1"/>
  <c r="I179" i="1" s="1"/>
  <c r="G227" i="3"/>
  <c r="H227" i="3" s="1"/>
  <c r="G178" i="1" s="1"/>
  <c r="I178" i="1" s="1"/>
  <c r="H191" i="3"/>
  <c r="H185" i="3"/>
  <c r="H190" i="3"/>
  <c r="H179" i="3"/>
  <c r="G177" i="3" s="1"/>
  <c r="H177" i="3" s="1"/>
  <c r="G175" i="3"/>
  <c r="H175" i="3" s="1"/>
  <c r="G165" i="3"/>
  <c r="H165" i="3" s="1"/>
  <c r="G161" i="1" s="1"/>
  <c r="I161" i="1" s="1"/>
  <c r="G169" i="3"/>
  <c r="H169" i="3" s="1"/>
  <c r="G155" i="3"/>
  <c r="G160" i="3"/>
  <c r="H160" i="3" s="1"/>
  <c r="G148" i="1" s="1"/>
  <c r="I148" i="1" s="1"/>
  <c r="I145" i="1" s="1"/>
  <c r="B104" i="3"/>
  <c r="C104" i="3"/>
  <c r="A104" i="3"/>
  <c r="H106" i="3"/>
  <c r="H107" i="3"/>
  <c r="H105" i="3"/>
  <c r="G187" i="3" l="1"/>
  <c r="H187" i="3" s="1"/>
  <c r="G172" i="1"/>
  <c r="I172" i="1" s="1"/>
  <c r="G180" i="1"/>
  <c r="I180" i="1" s="1"/>
  <c r="G175" i="1"/>
  <c r="I175" i="1" s="1"/>
  <c r="I163" i="1"/>
  <c r="G162" i="1"/>
  <c r="I162" i="1" s="1"/>
  <c r="H155" i="3"/>
  <c r="G130" i="1"/>
  <c r="I130" i="1" s="1"/>
  <c r="I128" i="1" s="1"/>
  <c r="I124" i="1" s="1"/>
  <c r="G184" i="3"/>
  <c r="H184" i="3" s="1"/>
  <c r="G173" i="3"/>
  <c r="H173" i="3" s="1"/>
  <c r="G104" i="3"/>
  <c r="H104" i="3" s="1"/>
  <c r="C113" i="3"/>
  <c r="B113" i="3"/>
  <c r="H117" i="3"/>
  <c r="H116" i="3"/>
  <c r="H114" i="3"/>
  <c r="E113" i="3"/>
  <c r="B109" i="3"/>
  <c r="C109" i="3"/>
  <c r="H110" i="3"/>
  <c r="E109" i="3"/>
  <c r="G171" i="1" l="1"/>
  <c r="I171" i="1" s="1"/>
  <c r="I160" i="1"/>
  <c r="G69" i="1"/>
  <c r="I69" i="1" s="1"/>
  <c r="I67" i="1" s="1"/>
  <c r="G174" i="1"/>
  <c r="I174" i="1" s="1"/>
  <c r="G181" i="3"/>
  <c r="H181" i="3" s="1"/>
  <c r="G113" i="3"/>
  <c r="H113" i="3" s="1"/>
  <c r="B98" i="4"/>
  <c r="A99" i="4"/>
  <c r="A100" i="4" s="1"/>
  <c r="A101" i="4" s="1"/>
  <c r="B251" i="3"/>
  <c r="C251" i="3"/>
  <c r="A251" i="3"/>
  <c r="H254" i="3"/>
  <c r="F253" i="3"/>
  <c r="H253" i="3" s="1"/>
  <c r="E251" i="3"/>
  <c r="G96" i="1" l="1"/>
  <c r="I96" i="1" s="1"/>
  <c r="G173" i="1"/>
  <c r="I173" i="1" s="1"/>
  <c r="I165" i="1" s="1"/>
  <c r="I107" i="1"/>
  <c r="I105" i="1" s="1"/>
  <c r="I102" i="1" s="1"/>
  <c r="H243" i="3"/>
  <c r="H242" i="3"/>
  <c r="E96" i="4"/>
  <c r="E95" i="4"/>
  <c r="E94" i="4"/>
  <c r="B93" i="4"/>
  <c r="A94" i="4"/>
  <c r="A95" i="4" s="1"/>
  <c r="A96" i="4" s="1"/>
  <c r="E93" i="4" l="1"/>
  <c r="E73" i="4"/>
  <c r="E83" i="4"/>
  <c r="E78" i="4"/>
  <c r="B88" i="4"/>
  <c r="A89" i="4"/>
  <c r="A90" i="4" s="1"/>
  <c r="A91" i="4" s="1"/>
  <c r="B83" i="4"/>
  <c r="A84" i="4"/>
  <c r="A85" i="4" s="1"/>
  <c r="A86" i="4" s="1"/>
  <c r="B78" i="4"/>
  <c r="A79" i="4"/>
  <c r="A80" i="4" s="1"/>
  <c r="A81" i="4" s="1"/>
  <c r="B73" i="4"/>
  <c r="A74" i="4"/>
  <c r="A75" i="4" s="1"/>
  <c r="A76" i="4" s="1"/>
  <c r="F131" i="3"/>
  <c r="H131" i="3" s="1"/>
  <c r="F126" i="3"/>
  <c r="H126" i="3" s="1"/>
  <c r="H130" i="3"/>
  <c r="H125" i="3"/>
  <c r="H120" i="3"/>
  <c r="B132" i="3"/>
  <c r="B127" i="3"/>
  <c r="B122" i="3"/>
  <c r="E64" i="4"/>
  <c r="E63" i="4"/>
  <c r="E59" i="4"/>
  <c r="E58" i="4"/>
  <c r="E57" i="4"/>
  <c r="B68" i="4"/>
  <c r="B62" i="4"/>
  <c r="B56" i="4"/>
  <c r="B119" i="3"/>
  <c r="C119" i="3"/>
  <c r="A119" i="3"/>
  <c r="B89" i="3"/>
  <c r="B82" i="3"/>
  <c r="B70" i="3"/>
  <c r="B63" i="3"/>
  <c r="C63" i="3"/>
  <c r="A63" i="3"/>
  <c r="B71" i="3"/>
  <c r="H69" i="3"/>
  <c r="H68" i="3"/>
  <c r="H67" i="3"/>
  <c r="H66" i="3"/>
  <c r="H65" i="3"/>
  <c r="H64" i="3"/>
  <c r="A26" i="3"/>
  <c r="B43" i="3"/>
  <c r="A36" i="3"/>
  <c r="B36" i="3"/>
  <c r="C36" i="3"/>
  <c r="F44" i="3"/>
  <c r="B44" i="3"/>
  <c r="H42" i="3"/>
  <c r="H41" i="3"/>
  <c r="H40" i="3"/>
  <c r="H39" i="3"/>
  <c r="H38" i="3"/>
  <c r="H37" i="3"/>
  <c r="C26" i="3"/>
  <c r="B26" i="3"/>
  <c r="B34" i="3"/>
  <c r="B33" i="3"/>
  <c r="H32" i="3"/>
  <c r="H31" i="3"/>
  <c r="H30" i="3"/>
  <c r="H29" i="3"/>
  <c r="H28" i="3"/>
  <c r="H27" i="3"/>
  <c r="A39" i="4"/>
  <c r="A40" i="4" s="1"/>
  <c r="A41" i="4" s="1"/>
  <c r="G34" i="3"/>
  <c r="G186" i="1" l="1"/>
  <c r="I186" i="1" s="1"/>
  <c r="G197" i="1"/>
  <c r="I197" i="1" s="1"/>
  <c r="I196" i="1" s="1"/>
  <c r="E56" i="4"/>
  <c r="G134" i="3" s="1"/>
  <c r="H134" i="3" s="1"/>
  <c r="G100" i="1" s="1"/>
  <c r="E88" i="4"/>
  <c r="E62" i="4"/>
  <c r="G184" i="1"/>
  <c r="I184" i="1" s="1"/>
  <c r="G185" i="1"/>
  <c r="I185" i="1" s="1"/>
  <c r="G71" i="3"/>
  <c r="H71" i="3" s="1"/>
  <c r="G44" i="3"/>
  <c r="H44" i="3" s="1"/>
  <c r="G187" i="1" l="1"/>
  <c r="H34" i="3"/>
  <c r="I187" i="1" l="1"/>
  <c r="E35" i="4"/>
  <c r="E33" i="4"/>
  <c r="E34" i="4"/>
  <c r="E27" i="4"/>
  <c r="E28" i="4"/>
  <c r="E29" i="4"/>
  <c r="E21" i="4"/>
  <c r="E23" i="4"/>
  <c r="E22" i="4"/>
  <c r="B32" i="4"/>
  <c r="B26" i="4"/>
  <c r="A33" i="4"/>
  <c r="A34" i="4" s="1"/>
  <c r="A35" i="4" s="1"/>
  <c r="A27" i="4"/>
  <c r="A28" i="4" s="1"/>
  <c r="A29" i="4" s="1"/>
  <c r="B20" i="4"/>
  <c r="A45" i="4"/>
  <c r="A46" i="4" s="1"/>
  <c r="A47" i="4" s="1"/>
  <c r="G82" i="3"/>
  <c r="A63" i="4"/>
  <c r="A64" i="4" s="1"/>
  <c r="A65" i="4" s="1"/>
  <c r="H94" i="3"/>
  <c r="H93" i="3"/>
  <c r="C91" i="3"/>
  <c r="B91" i="3"/>
  <c r="E17" i="4"/>
  <c r="E16" i="4"/>
  <c r="E15" i="4"/>
  <c r="E9" i="4"/>
  <c r="E10" i="4"/>
  <c r="E11" i="4"/>
  <c r="H14" i="3"/>
  <c r="G13" i="3" s="1"/>
  <c r="H13" i="3" s="1"/>
  <c r="C42" i="11"/>
  <c r="J43" i="11"/>
  <c r="J232" i="11"/>
  <c r="J211" i="11"/>
  <c r="J219" i="11"/>
  <c r="J218" i="11"/>
  <c r="J217" i="11"/>
  <c r="J216" i="11"/>
  <c r="J204" i="11"/>
  <c r="J206" i="11"/>
  <c r="J205" i="11"/>
  <c r="J203" i="11"/>
  <c r="J142" i="11"/>
  <c r="F60" i="1" s="1"/>
  <c r="C138" i="11"/>
  <c r="C186" i="11"/>
  <c r="J186" i="11"/>
  <c r="J140" i="11"/>
  <c r="J135" i="11"/>
  <c r="F58" i="1" s="1"/>
  <c r="I58" i="1" s="1"/>
  <c r="J132" i="11"/>
  <c r="F57" i="1" s="1"/>
  <c r="J128" i="11"/>
  <c r="C135" i="11"/>
  <c r="C132" i="11"/>
  <c r="C127" i="11"/>
  <c r="J82" i="11"/>
  <c r="C123" i="11"/>
  <c r="J97" i="11"/>
  <c r="F47" i="1" s="1"/>
  <c r="J100" i="11"/>
  <c r="F48" i="1" s="1"/>
  <c r="J95" i="11"/>
  <c r="J104" i="11"/>
  <c r="J103" i="11" s="1"/>
  <c r="F49" i="1" s="1"/>
  <c r="J91" i="11"/>
  <c r="J90" i="11"/>
  <c r="J89" i="11"/>
  <c r="J92" i="11"/>
  <c r="C103" i="11"/>
  <c r="C100" i="11"/>
  <c r="C97" i="11"/>
  <c r="C94" i="11"/>
  <c r="J51" i="11"/>
  <c r="F32" i="1" s="1"/>
  <c r="J61" i="11"/>
  <c r="F35" i="1" s="1"/>
  <c r="I35" i="1" s="1"/>
  <c r="C36" i="11"/>
  <c r="J24" i="11"/>
  <c r="J16" i="11"/>
  <c r="F24" i="1" s="1"/>
  <c r="I24" i="1" s="1"/>
  <c r="C61" i="11"/>
  <c r="A33" i="11"/>
  <c r="A24" i="11"/>
  <c r="A16" i="11"/>
  <c r="J48" i="11"/>
  <c r="J47" i="11"/>
  <c r="J46" i="11"/>
  <c r="C51" i="11"/>
  <c r="J72" i="11"/>
  <c r="J71" i="11" s="1"/>
  <c r="F37" i="1" s="1"/>
  <c r="I37" i="1" s="1"/>
  <c r="J68" i="11"/>
  <c r="J67" i="11"/>
  <c r="J66" i="11"/>
  <c r="J40" i="11"/>
  <c r="J34" i="11"/>
  <c r="C33" i="11"/>
  <c r="C45" i="11"/>
  <c r="C39" i="11"/>
  <c r="C24" i="11"/>
  <c r="C16" i="11"/>
  <c r="C15" i="11"/>
  <c r="C12" i="11"/>
  <c r="C9" i="11"/>
  <c r="C8" i="11"/>
  <c r="J76" i="11"/>
  <c r="F25" i="1" l="1"/>
  <c r="I25" i="1" s="1"/>
  <c r="I26" i="1"/>
  <c r="I62" i="1"/>
  <c r="I61" i="1"/>
  <c r="I60" i="1"/>
  <c r="E20" i="4"/>
  <c r="G33" i="3" s="1"/>
  <c r="H33" i="3" s="1"/>
  <c r="G26" i="3" s="1"/>
  <c r="E14" i="4"/>
  <c r="E32" i="4"/>
  <c r="I48" i="1" s="1"/>
  <c r="I201" i="1"/>
  <c r="G31" i="1"/>
  <c r="I200" i="1"/>
  <c r="I32" i="1"/>
  <c r="E26" i="4"/>
  <c r="G70" i="3" s="1"/>
  <c r="H70" i="3" s="1"/>
  <c r="G63" i="3" s="1"/>
  <c r="H63" i="3" s="1"/>
  <c r="G127" i="3"/>
  <c r="H127" i="3" s="1"/>
  <c r="H111" i="3"/>
  <c r="G109" i="3" s="1"/>
  <c r="H109" i="3" s="1"/>
  <c r="G85" i="1" s="1"/>
  <c r="I85" i="1" s="1"/>
  <c r="I75" i="1" s="1"/>
  <c r="J42" i="11"/>
  <c r="F30" i="1" s="1"/>
  <c r="I30" i="1" s="1"/>
  <c r="J138" i="11"/>
  <c r="F59" i="1" s="1"/>
  <c r="J65" i="11"/>
  <c r="F36" i="1" s="1"/>
  <c r="I36" i="1" s="1"/>
  <c r="J209" i="11"/>
  <c r="F191" i="1" s="1"/>
  <c r="I191" i="1" s="1"/>
  <c r="J202" i="11"/>
  <c r="F190" i="1" s="1"/>
  <c r="I190" i="1" s="1"/>
  <c r="J81" i="11"/>
  <c r="J116" i="11"/>
  <c r="F52" i="1" s="1"/>
  <c r="J123" i="11"/>
  <c r="F53" i="1" s="1"/>
  <c r="I53" i="1" s="1"/>
  <c r="J106" i="11"/>
  <c r="F50" i="1" s="1"/>
  <c r="I50" i="1" s="1"/>
  <c r="J94" i="11"/>
  <c r="F46" i="1" s="1"/>
  <c r="J45" i="11"/>
  <c r="F31" i="1" s="1"/>
  <c r="J39" i="11"/>
  <c r="F29" i="1" s="1"/>
  <c r="I29" i="1" s="1"/>
  <c r="J33" i="11"/>
  <c r="J36" i="11"/>
  <c r="F28" i="1" s="1"/>
  <c r="I28" i="1" s="1"/>
  <c r="J215" i="11"/>
  <c r="F192" i="1" s="1"/>
  <c r="I192" i="1" s="1"/>
  <c r="J127" i="11"/>
  <c r="F56" i="1" s="1"/>
  <c r="J88" i="11"/>
  <c r="F45" i="1" s="1"/>
  <c r="I45" i="1" s="1"/>
  <c r="J75" i="11"/>
  <c r="F40" i="1" s="1"/>
  <c r="I40" i="1" s="1"/>
  <c r="J55" i="11"/>
  <c r="I2" i="11"/>
  <c r="A15" i="4"/>
  <c r="A16" i="4" s="1"/>
  <c r="A17" i="4" s="1"/>
  <c r="B55" i="6"/>
  <c r="B49" i="6"/>
  <c r="B46" i="6"/>
  <c r="B43" i="6"/>
  <c r="B40" i="6"/>
  <c r="B37" i="6"/>
  <c r="B34" i="6"/>
  <c r="C55" i="6"/>
  <c r="C49" i="6"/>
  <c r="C46" i="6"/>
  <c r="C43" i="6"/>
  <c r="C40" i="6"/>
  <c r="A37" i="6"/>
  <c r="C37" i="6" s="1"/>
  <c r="A34" i="6"/>
  <c r="C34" i="6" s="1"/>
  <c r="A31" i="6"/>
  <c r="C31" i="6" s="1"/>
  <c r="A28" i="6"/>
  <c r="C28" i="6" s="1"/>
  <c r="A25" i="6"/>
  <c r="C25" i="6" s="1"/>
  <c r="A22" i="6"/>
  <c r="C22" i="6" s="1"/>
  <c r="A19" i="6"/>
  <c r="C19" i="6" s="1"/>
  <c r="A16" i="6"/>
  <c r="C16" i="6" s="1"/>
  <c r="A13" i="6"/>
  <c r="C13" i="6" s="1"/>
  <c r="A10" i="6"/>
  <c r="C10" i="6" s="1"/>
  <c r="A7" i="6"/>
  <c r="C7" i="6" s="1"/>
  <c r="I96" i="2"/>
  <c r="I90" i="2"/>
  <c r="I87" i="2"/>
  <c r="I84" i="2"/>
  <c r="I45" i="2"/>
  <c r="I42" i="2"/>
  <c r="G16" i="5"/>
  <c r="G12" i="5" s="1"/>
  <c r="P23" i="5" s="1"/>
  <c r="G11" i="5"/>
  <c r="U21" i="5" s="1"/>
  <c r="G10" i="5"/>
  <c r="P21" i="5" s="1"/>
  <c r="G9" i="5"/>
  <c r="K21" i="5" s="1"/>
  <c r="G8" i="5"/>
  <c r="I21" i="5" s="1"/>
  <c r="G7" i="5"/>
  <c r="G21" i="5" s="1"/>
  <c r="S3" i="5"/>
  <c r="S2" i="5"/>
  <c r="G49" i="1" l="1"/>
  <c r="I49" i="1" s="1"/>
  <c r="I42" i="1"/>
  <c r="F41" i="1"/>
  <c r="I41" i="1" s="1"/>
  <c r="F27" i="1"/>
  <c r="I34" i="1"/>
  <c r="F33" i="1"/>
  <c r="I33" i="1" s="1"/>
  <c r="I199" i="1"/>
  <c r="I31" i="1"/>
  <c r="G43" i="3"/>
  <c r="H43" i="3" s="1"/>
  <c r="G36" i="3" s="1"/>
  <c r="H36" i="3" s="1"/>
  <c r="J109" i="11"/>
  <c r="F51" i="1" s="1"/>
  <c r="I51" i="1" s="1"/>
  <c r="J222" i="11"/>
  <c r="F193" i="1" s="1"/>
  <c r="I193" i="1" s="1"/>
  <c r="I189" i="1" s="1"/>
  <c r="Z21" i="5"/>
  <c r="I39" i="1" l="1"/>
  <c r="G47" i="1"/>
  <c r="I47" i="1" s="1"/>
  <c r="J2" i="1"/>
  <c r="G252" i="3"/>
  <c r="H252" i="3" s="1"/>
  <c r="G251" i="3" s="1"/>
  <c r="H251" i="3" s="1"/>
  <c r="J265" i="11"/>
  <c r="F211" i="1" s="1"/>
  <c r="I211" i="1" s="1"/>
  <c r="D2" i="6"/>
  <c r="I2" i="2"/>
  <c r="H2" i="3"/>
  <c r="G208" i="1" l="1"/>
  <c r="I208" i="1" s="1"/>
  <c r="I207" i="1" s="1"/>
  <c r="H180" i="1"/>
  <c r="J180" i="1" s="1"/>
  <c r="H126" i="1"/>
  <c r="J126" i="1" s="1"/>
  <c r="H127" i="1"/>
  <c r="J127" i="1" s="1"/>
  <c r="H204" i="1"/>
  <c r="J204" i="1" s="1"/>
  <c r="H205" i="1"/>
  <c r="J205" i="1" s="1"/>
  <c r="H110" i="1"/>
  <c r="J110" i="1" s="1"/>
  <c r="H41" i="1"/>
  <c r="J41" i="1" s="1"/>
  <c r="H155" i="1"/>
  <c r="J155" i="1" s="1"/>
  <c r="H162" i="1"/>
  <c r="J162" i="1" s="1"/>
  <c r="H130" i="1"/>
  <c r="J130" i="1" s="1"/>
  <c r="H107" i="1"/>
  <c r="J107" i="1" s="1"/>
  <c r="H132" i="1"/>
  <c r="J132" i="1" s="1"/>
  <c r="H131" i="1"/>
  <c r="J131" i="1" s="1"/>
  <c r="H151" i="1"/>
  <c r="J151" i="1" s="1"/>
  <c r="H150" i="1"/>
  <c r="J150" i="1" s="1"/>
  <c r="H61" i="1"/>
  <c r="J61" i="1" s="1"/>
  <c r="H26" i="1"/>
  <c r="J26" i="1" s="1"/>
  <c r="H33" i="1"/>
  <c r="J33" i="1" s="1"/>
  <c r="H60" i="1"/>
  <c r="J60" i="1" s="1"/>
  <c r="H19" i="1"/>
  <c r="H28" i="1"/>
  <c r="J28" i="1" s="1"/>
  <c r="H58" i="1"/>
  <c r="J58" i="1" s="1"/>
  <c r="H68" i="1"/>
  <c r="J68" i="1" s="1"/>
  <c r="H73" i="1"/>
  <c r="J73" i="1" s="1"/>
  <c r="H84" i="1"/>
  <c r="J84" i="1" s="1"/>
  <c r="H94" i="1"/>
  <c r="J94" i="1" s="1"/>
  <c r="H113" i="1"/>
  <c r="J113" i="1" s="1"/>
  <c r="H119" i="1"/>
  <c r="J119" i="1" s="1"/>
  <c r="H129" i="1"/>
  <c r="J129" i="1" s="1"/>
  <c r="H158" i="1"/>
  <c r="H190" i="1"/>
  <c r="H24" i="1"/>
  <c r="J24" i="1" s="1"/>
  <c r="H29" i="1"/>
  <c r="J29" i="1" s="1"/>
  <c r="H74" i="1"/>
  <c r="J74" i="1" s="1"/>
  <c r="H82" i="1"/>
  <c r="J82" i="1" s="1"/>
  <c r="H89" i="1"/>
  <c r="J89" i="1" s="1"/>
  <c r="H96" i="1"/>
  <c r="J96" i="1" s="1"/>
  <c r="H106" i="1"/>
  <c r="J106" i="1" s="1"/>
  <c r="H136" i="1"/>
  <c r="J136" i="1" s="1"/>
  <c r="H141" i="1"/>
  <c r="J141" i="1" s="1"/>
  <c r="H142" i="1"/>
  <c r="J142" i="1" s="1"/>
  <c r="H152" i="1"/>
  <c r="J152" i="1" s="1"/>
  <c r="H148" i="1"/>
  <c r="J148" i="1" s="1"/>
  <c r="H168" i="1"/>
  <c r="J168" i="1" s="1"/>
  <c r="H211" i="1"/>
  <c r="H15" i="1"/>
  <c r="H20" i="1"/>
  <c r="H34" i="1"/>
  <c r="J34" i="1" s="1"/>
  <c r="H37" i="1"/>
  <c r="J37" i="1" s="1"/>
  <c r="H79" i="1"/>
  <c r="J79" i="1" s="1"/>
  <c r="H90" i="1"/>
  <c r="J90" i="1" s="1"/>
  <c r="H114" i="1"/>
  <c r="J114" i="1" s="1"/>
  <c r="H120" i="1"/>
  <c r="J120" i="1" s="1"/>
  <c r="H133" i="1"/>
  <c r="J133" i="1" s="1"/>
  <c r="H169" i="1"/>
  <c r="J169" i="1" s="1"/>
  <c r="H194" i="1"/>
  <c r="H18" i="1"/>
  <c r="H81" i="1"/>
  <c r="J81" i="1" s="1"/>
  <c r="H135" i="1"/>
  <c r="J135" i="1" s="1"/>
  <c r="H193" i="1"/>
  <c r="H21" i="1"/>
  <c r="H70" i="1"/>
  <c r="J70" i="1" s="1"/>
  <c r="H87" i="1"/>
  <c r="J87" i="1" s="1"/>
  <c r="H115" i="1"/>
  <c r="J115" i="1" s="1"/>
  <c r="H144" i="1"/>
  <c r="J144" i="1" s="1"/>
  <c r="J143" i="1" s="1"/>
  <c r="H153" i="1"/>
  <c r="J153" i="1" s="1"/>
  <c r="H191" i="1"/>
  <c r="H16" i="1"/>
  <c r="H25" i="1"/>
  <c r="J25" i="1" s="1"/>
  <c r="H30" i="1"/>
  <c r="J30" i="1" s="1"/>
  <c r="H35" i="1"/>
  <c r="J35" i="1" s="1"/>
  <c r="H40" i="1"/>
  <c r="J40" i="1" s="1"/>
  <c r="H53" i="1"/>
  <c r="J53" i="1" s="1"/>
  <c r="H62" i="1"/>
  <c r="J62" i="1" s="1"/>
  <c r="H76" i="1"/>
  <c r="J76" i="1" s="1"/>
  <c r="H80" i="1"/>
  <c r="J80" i="1" s="1"/>
  <c r="H92" i="1"/>
  <c r="J92" i="1" s="1"/>
  <c r="H95" i="1"/>
  <c r="J95" i="1" s="1"/>
  <c r="H109" i="1"/>
  <c r="J109" i="1" s="1"/>
  <c r="H121" i="1"/>
  <c r="J121" i="1" s="1"/>
  <c r="H138" i="1"/>
  <c r="J138" i="1" s="1"/>
  <c r="H140" i="1"/>
  <c r="J140" i="1" s="1"/>
  <c r="H170" i="1"/>
  <c r="J170" i="1" s="1"/>
  <c r="H175" i="1"/>
  <c r="J175" i="1" s="1"/>
  <c r="H10" i="1"/>
  <c r="J10" i="1" s="1"/>
  <c r="H17" i="1"/>
  <c r="H50" i="1"/>
  <c r="J50" i="1" s="1"/>
  <c r="H66" i="1"/>
  <c r="J66" i="1" s="1"/>
  <c r="H71" i="1"/>
  <c r="J71" i="1" s="1"/>
  <c r="H83" i="1"/>
  <c r="J83" i="1" s="1"/>
  <c r="H116" i="1"/>
  <c r="J116" i="1" s="1"/>
  <c r="H137" i="1"/>
  <c r="J137" i="1" s="1"/>
  <c r="H146" i="1"/>
  <c r="J146" i="1" s="1"/>
  <c r="H149" i="1"/>
  <c r="J149" i="1" s="1"/>
  <c r="H156" i="1"/>
  <c r="H166" i="1"/>
  <c r="J166" i="1" s="1"/>
  <c r="H192" i="1"/>
  <c r="H209" i="1"/>
  <c r="H11" i="1"/>
  <c r="J11" i="1" s="1"/>
  <c r="H45" i="1"/>
  <c r="J45" i="1" s="1"/>
  <c r="H42" i="1"/>
  <c r="J42" i="1" s="1"/>
  <c r="H77" i="1"/>
  <c r="J77" i="1" s="1"/>
  <c r="H93" i="1"/>
  <c r="J93" i="1" s="1"/>
  <c r="H111" i="1"/>
  <c r="J111" i="1" s="1"/>
  <c r="H117" i="1"/>
  <c r="J117" i="1" s="1"/>
  <c r="H122" i="1"/>
  <c r="J122" i="1" s="1"/>
  <c r="H134" i="1"/>
  <c r="J134" i="1" s="1"/>
  <c r="H147" i="1"/>
  <c r="J147" i="1" s="1"/>
  <c r="H157" i="1"/>
  <c r="H167" i="1"/>
  <c r="J167" i="1" s="1"/>
  <c r="H179" i="1"/>
  <c r="J179" i="1" s="1"/>
  <c r="H36" i="1"/>
  <c r="J36" i="1" s="1"/>
  <c r="H51" i="1"/>
  <c r="J51" i="1" s="1"/>
  <c r="H78" i="1"/>
  <c r="J78" i="1" s="1"/>
  <c r="H88" i="1"/>
  <c r="J88" i="1" s="1"/>
  <c r="H210" i="1"/>
  <c r="H31" i="1"/>
  <c r="J31" i="1" s="1"/>
  <c r="H200" i="1"/>
  <c r="H72" i="1"/>
  <c r="J72" i="1" s="1"/>
  <c r="H32" i="1"/>
  <c r="J32" i="1" s="1"/>
  <c r="H85" i="1"/>
  <c r="J85" i="1" s="1"/>
  <c r="H163" i="1"/>
  <c r="J163" i="1" s="1"/>
  <c r="H201" i="1"/>
  <c r="H178" i="1"/>
  <c r="J178" i="1" s="1"/>
  <c r="H161" i="1"/>
  <c r="J161" i="1" s="1"/>
  <c r="H187" i="1"/>
  <c r="H186" i="1"/>
  <c r="H172" i="1"/>
  <c r="J172" i="1" s="1"/>
  <c r="H171" i="1"/>
  <c r="J171" i="1" s="1"/>
  <c r="H69" i="1"/>
  <c r="J69" i="1" s="1"/>
  <c r="H174" i="1"/>
  <c r="J174" i="1" s="1"/>
  <c r="H173" i="1"/>
  <c r="J173" i="1" s="1"/>
  <c r="H197" i="1"/>
  <c r="H185" i="1"/>
  <c r="H184" i="1"/>
  <c r="H48" i="1"/>
  <c r="J48" i="1" s="1"/>
  <c r="H49" i="1"/>
  <c r="J49" i="1" s="1"/>
  <c r="H47" i="1"/>
  <c r="J47" i="1" s="1"/>
  <c r="H208" i="1" l="1"/>
  <c r="J208" i="1" s="1"/>
  <c r="J105" i="1"/>
  <c r="C45" i="2" s="1"/>
  <c r="J125" i="1"/>
  <c r="J203" i="1"/>
  <c r="D52" i="6" s="1"/>
  <c r="J65" i="1"/>
  <c r="J118" i="1"/>
  <c r="J86" i="1"/>
  <c r="J39" i="1"/>
  <c r="J128" i="1"/>
  <c r="J75" i="1"/>
  <c r="J108" i="1"/>
  <c r="J139" i="1"/>
  <c r="J160" i="1"/>
  <c r="J112" i="1"/>
  <c r="C51" i="2" s="1"/>
  <c r="J145" i="1"/>
  <c r="J67" i="1"/>
  <c r="J158" i="1"/>
  <c r="J210" i="1"/>
  <c r="J157" i="1"/>
  <c r="J192" i="1"/>
  <c r="C66" i="2"/>
  <c r="I68" i="2" s="1"/>
  <c r="J194" i="1"/>
  <c r="J156" i="1"/>
  <c r="J211" i="1"/>
  <c r="J197" i="1"/>
  <c r="J196" i="1" s="1"/>
  <c r="J209" i="1"/>
  <c r="J193" i="1"/>
  <c r="J184" i="1"/>
  <c r="J185" i="1"/>
  <c r="J186" i="1"/>
  <c r="J187" i="1"/>
  <c r="J201" i="1"/>
  <c r="J200" i="1"/>
  <c r="J191" i="1"/>
  <c r="J190" i="1"/>
  <c r="J9" i="1"/>
  <c r="C42" i="2"/>
  <c r="C54" i="2"/>
  <c r="E240" i="3"/>
  <c r="C240" i="3"/>
  <c r="B240" i="3"/>
  <c r="A240" i="3"/>
  <c r="H241" i="3"/>
  <c r="G240" i="3" s="1"/>
  <c r="F121" i="3"/>
  <c r="H121" i="3" s="1"/>
  <c r="E124" i="3"/>
  <c r="C124" i="3"/>
  <c r="B124" i="3"/>
  <c r="A124" i="3"/>
  <c r="E119" i="3"/>
  <c r="H92" i="3"/>
  <c r="H80" i="3"/>
  <c r="H81" i="3"/>
  <c r="H79" i="3"/>
  <c r="B74" i="3"/>
  <c r="C84" i="3"/>
  <c r="B84" i="3"/>
  <c r="A84" i="3"/>
  <c r="H88" i="3"/>
  <c r="H87" i="3"/>
  <c r="H86" i="3"/>
  <c r="H85" i="3"/>
  <c r="A78" i="3"/>
  <c r="B78" i="3"/>
  <c r="C78" i="3"/>
  <c r="H75" i="3"/>
  <c r="H76" i="3"/>
  <c r="E8" i="4"/>
  <c r="H26" i="3" s="1"/>
  <c r="A9" i="4"/>
  <c r="A10" i="4" s="1"/>
  <c r="A11" i="4" s="1"/>
  <c r="H95" i="3"/>
  <c r="A21" i="4"/>
  <c r="A22" i="4" s="1"/>
  <c r="A23" i="4" s="1"/>
  <c r="A51" i="4"/>
  <c r="A52" i="4" s="1"/>
  <c r="A53" i="4" s="1"/>
  <c r="G89" i="3"/>
  <c r="H89" i="3" s="1"/>
  <c r="A69" i="4"/>
  <c r="A70" i="4" s="1"/>
  <c r="A71" i="4" s="1"/>
  <c r="A57" i="4"/>
  <c r="A58" i="4" s="1"/>
  <c r="A59" i="4" s="1"/>
  <c r="C73" i="3"/>
  <c r="A73" i="3"/>
  <c r="G46" i="1" l="1"/>
  <c r="I46" i="1" s="1"/>
  <c r="C63" i="2"/>
  <c r="C93" i="2"/>
  <c r="C69" i="2"/>
  <c r="C57" i="2"/>
  <c r="C33" i="2"/>
  <c r="H35" i="2" s="1"/>
  <c r="C27" i="2"/>
  <c r="C60" i="2"/>
  <c r="H62" i="2" s="1"/>
  <c r="C48" i="2"/>
  <c r="J102" i="1"/>
  <c r="D28" i="6" s="1"/>
  <c r="J154" i="1"/>
  <c r="J207" i="1"/>
  <c r="G68" i="2"/>
  <c r="J189" i="1"/>
  <c r="J165" i="1"/>
  <c r="J199" i="1"/>
  <c r="C30" i="2"/>
  <c r="F68" i="2"/>
  <c r="H68" i="2"/>
  <c r="I9" i="1"/>
  <c r="G91" i="3"/>
  <c r="H91" i="3" s="1"/>
  <c r="G59" i="1" s="1"/>
  <c r="G132" i="3"/>
  <c r="G122" i="3"/>
  <c r="H122" i="3" s="1"/>
  <c r="H82" i="3"/>
  <c r="G78" i="3" s="1"/>
  <c r="H78" i="3" s="1"/>
  <c r="G74" i="3"/>
  <c r="H74" i="3" s="1"/>
  <c r="G73" i="3" s="1"/>
  <c r="H73" i="3" s="1"/>
  <c r="C87" i="2"/>
  <c r="H44" i="2"/>
  <c r="G84" i="3"/>
  <c r="H84" i="3" s="1"/>
  <c r="H46" i="1" l="1"/>
  <c r="J46" i="1" s="1"/>
  <c r="G52" i="1"/>
  <c r="I52" i="1" s="1"/>
  <c r="G57" i="1"/>
  <c r="I57" i="1" s="1"/>
  <c r="G56" i="1"/>
  <c r="I56" i="1" s="1"/>
  <c r="I35" i="2"/>
  <c r="F35" i="2"/>
  <c r="G35" i="2"/>
  <c r="F95" i="2"/>
  <c r="H95" i="2"/>
  <c r="I95" i="2"/>
  <c r="G95" i="2"/>
  <c r="C84" i="2"/>
  <c r="C72" i="2"/>
  <c r="J124" i="1"/>
  <c r="I50" i="2"/>
  <c r="H50" i="2"/>
  <c r="I62" i="2"/>
  <c r="G62" i="2"/>
  <c r="F62" i="2"/>
  <c r="I59" i="2"/>
  <c r="H59" i="2"/>
  <c r="G59" i="2"/>
  <c r="F59" i="2"/>
  <c r="G50" i="2"/>
  <c r="F50" i="2"/>
  <c r="D43" i="6"/>
  <c r="H59" i="1"/>
  <c r="J59" i="1" s="1"/>
  <c r="I59" i="1"/>
  <c r="C78" i="2"/>
  <c r="C75" i="2"/>
  <c r="H32" i="2"/>
  <c r="C96" i="2"/>
  <c r="H89" i="2"/>
  <c r="H132" i="3"/>
  <c r="G129" i="3" s="1"/>
  <c r="H8" i="3"/>
  <c r="G27" i="1" s="1"/>
  <c r="D37" i="6"/>
  <c r="C90" i="2"/>
  <c r="O5" i="3"/>
  <c r="N5" i="3"/>
  <c r="M5" i="3"/>
  <c r="H52" i="1" l="1"/>
  <c r="J52" i="1" s="1"/>
  <c r="H57" i="1"/>
  <c r="J57" i="1" s="1"/>
  <c r="H56" i="1"/>
  <c r="J56" i="1" s="1"/>
  <c r="H27" i="1"/>
  <c r="J27" i="1" s="1"/>
  <c r="J23" i="1" s="1"/>
  <c r="I27" i="1"/>
  <c r="I23" i="1" s="1"/>
  <c r="H80" i="2"/>
  <c r="D34" i="6"/>
  <c r="I55" i="1"/>
  <c r="G99" i="1"/>
  <c r="I99" i="1" s="1"/>
  <c r="D7" i="6"/>
  <c r="C9" i="2"/>
  <c r="D16" i="6"/>
  <c r="C18" i="2"/>
  <c r="H129" i="3"/>
  <c r="J55" i="1" l="1"/>
  <c r="H99" i="1"/>
  <c r="J99" i="1" s="1"/>
  <c r="D13" i="6"/>
  <c r="C15" i="2"/>
  <c r="H20" i="2"/>
  <c r="G98" i="2"/>
  <c r="D49" i="6"/>
  <c r="B24" i="2"/>
  <c r="B21" i="2"/>
  <c r="B18" i="2"/>
  <c r="B15" i="2"/>
  <c r="A9" i="2"/>
  <c r="A21" i="2"/>
  <c r="A18" i="2"/>
  <c r="A15" i="2"/>
  <c r="I81" i="2"/>
  <c r="I78" i="2"/>
  <c r="I75" i="2"/>
  <c r="I30" i="2"/>
  <c r="I27" i="2"/>
  <c r="I24" i="2"/>
  <c r="I21" i="2"/>
  <c r="I18" i="2"/>
  <c r="I15" i="2"/>
  <c r="I12" i="2"/>
  <c r="I9" i="2"/>
  <c r="F8" i="2"/>
  <c r="G8" i="2" s="1"/>
  <c r="H8" i="2" s="1"/>
  <c r="F98" i="2" l="1"/>
  <c r="H98" i="2"/>
  <c r="I98" i="2"/>
  <c r="H92" i="2"/>
  <c r="D46" i="6"/>
  <c r="I89" i="2"/>
  <c r="G89" i="2"/>
  <c r="F89" i="2"/>
  <c r="G44" i="2"/>
  <c r="I44" i="2"/>
  <c r="F44" i="2"/>
  <c r="F80" i="2" l="1"/>
  <c r="G80" i="2"/>
  <c r="I80" i="2"/>
  <c r="G92" i="2" l="1"/>
  <c r="I92" i="2"/>
  <c r="F92" i="2"/>
  <c r="H17" i="2" l="1"/>
  <c r="D55" i="6" l="1"/>
  <c r="F20" i="2" l="1"/>
  <c r="G20" i="2"/>
  <c r="I20" i="2"/>
  <c r="F17" i="2"/>
  <c r="G17" i="2"/>
  <c r="I17" i="2"/>
  <c r="G11" i="2" l="1"/>
  <c r="I11" i="2"/>
  <c r="H11" i="2"/>
  <c r="F11" i="2"/>
  <c r="F32" i="2" l="1"/>
  <c r="G32" i="2"/>
  <c r="I32" i="2"/>
  <c r="H29" i="2" l="1"/>
  <c r="I29" i="2" l="1"/>
  <c r="G29" i="2"/>
  <c r="F29" i="2"/>
  <c r="H240" i="3" l="1"/>
  <c r="G183" i="1" s="1"/>
  <c r="H183" i="1" l="1"/>
  <c r="J183" i="1" s="1"/>
  <c r="J182" i="1" s="1"/>
  <c r="I183" i="1"/>
  <c r="I182" i="1" s="1"/>
  <c r="C81" i="2" l="1"/>
  <c r="I83" i="2" s="1"/>
  <c r="D40" i="6"/>
  <c r="G86" i="2"/>
  <c r="F83" i="2" l="1"/>
  <c r="H83" i="2"/>
  <c r="G83" i="2"/>
  <c r="F86" i="2"/>
  <c r="I86" i="2"/>
  <c r="H86" i="2"/>
  <c r="G124" i="3" l="1"/>
  <c r="H124" i="3" s="1"/>
  <c r="G98" i="1" l="1"/>
  <c r="I98" i="1" s="1"/>
  <c r="G119" i="3"/>
  <c r="H119" i="3" s="1"/>
  <c r="H98" i="1" l="1"/>
  <c r="J98" i="1" s="1"/>
  <c r="G97" i="1"/>
  <c r="I97" i="1" s="1"/>
  <c r="J44" i="1"/>
  <c r="I44" i="1"/>
  <c r="D31" i="6"/>
  <c r="H77" i="2"/>
  <c r="F77" i="2"/>
  <c r="I77" i="2"/>
  <c r="G77" i="2"/>
  <c r="H97" i="1" l="1"/>
  <c r="J97" i="1" s="1"/>
  <c r="I100" i="1"/>
  <c r="I91" i="1" s="1"/>
  <c r="I64" i="1" s="1"/>
  <c r="H100" i="1"/>
  <c r="J100" i="1" s="1"/>
  <c r="C36" i="2"/>
  <c r="D22" i="6"/>
  <c r="C24" i="2"/>
  <c r="D19" i="6"/>
  <c r="I56" i="2"/>
  <c r="F56" i="2"/>
  <c r="H56" i="2"/>
  <c r="G56" i="2"/>
  <c r="H47" i="2"/>
  <c r="G14" i="1" l="1"/>
  <c r="J91" i="1"/>
  <c r="H38" i="2"/>
  <c r="G38" i="2"/>
  <c r="I38" i="2"/>
  <c r="F38" i="2"/>
  <c r="I26" i="2"/>
  <c r="F26" i="2"/>
  <c r="G26" i="2"/>
  <c r="H26" i="2"/>
  <c r="C21" i="2"/>
  <c r="I74" i="2"/>
  <c r="F74" i="2"/>
  <c r="G74" i="2"/>
  <c r="H74" i="2"/>
  <c r="I65" i="2"/>
  <c r="F65" i="2"/>
  <c r="H65" i="2"/>
  <c r="G65" i="2"/>
  <c r="G71" i="2"/>
  <c r="H71" i="2"/>
  <c r="I71" i="2"/>
  <c r="F71" i="2"/>
  <c r="I53" i="2"/>
  <c r="F53" i="2"/>
  <c r="H53" i="2"/>
  <c r="G53" i="2"/>
  <c r="I47" i="2"/>
  <c r="G47" i="2"/>
  <c r="F47" i="2"/>
  <c r="C39" i="2" l="1"/>
  <c r="J64" i="1"/>
  <c r="I14" i="1"/>
  <c r="H14" i="1"/>
  <c r="J14" i="1" s="1"/>
  <c r="J13" i="1" s="1"/>
  <c r="G23" i="2"/>
  <c r="I23" i="2"/>
  <c r="F23" i="2"/>
  <c r="H23" i="2"/>
  <c r="B73" i="3"/>
  <c r="D25" i="6" l="1"/>
  <c r="J214" i="1"/>
  <c r="F41" i="2"/>
  <c r="I41" i="2"/>
  <c r="G41" i="2"/>
  <c r="H41" i="2"/>
  <c r="C12" i="2"/>
  <c r="I13" i="1"/>
  <c r="I213" i="1" s="1"/>
  <c r="D10" i="6"/>
  <c r="C99" i="2" l="1"/>
  <c r="G14" i="2"/>
  <c r="G99" i="2" s="1"/>
  <c r="F14" i="2"/>
  <c r="F99" i="2" s="1"/>
  <c r="I14" i="2"/>
  <c r="H14" i="2"/>
  <c r="H99" i="2" s="1"/>
  <c r="D64" i="6"/>
  <c r="E10" i="6" l="1"/>
  <c r="E52" i="6"/>
  <c r="I99" i="2"/>
  <c r="F100" i="2"/>
  <c r="G100" i="2" s="1"/>
  <c r="D57" i="2"/>
  <c r="D93" i="2"/>
  <c r="D54" i="2"/>
  <c r="D66" i="2"/>
  <c r="D60" i="2"/>
  <c r="D72" i="2"/>
  <c r="D69" i="2"/>
  <c r="D63" i="2"/>
  <c r="D48" i="2"/>
  <c r="D51" i="2"/>
  <c r="D12" i="2"/>
  <c r="D33" i="2"/>
  <c r="D36" i="2"/>
  <c r="D39" i="2"/>
  <c r="E46" i="6"/>
  <c r="E19" i="6"/>
  <c r="E55" i="6"/>
  <c r="E40" i="6"/>
  <c r="E34" i="6"/>
  <c r="E16" i="6"/>
  <c r="E43" i="6"/>
  <c r="E28" i="6"/>
  <c r="E13" i="6"/>
  <c r="E31" i="6"/>
  <c r="E49" i="6"/>
  <c r="E25" i="6"/>
  <c r="E7" i="6"/>
  <c r="E37" i="6"/>
  <c r="E22" i="6"/>
  <c r="D84" i="2"/>
  <c r="D90" i="2"/>
  <c r="D42" i="2"/>
  <c r="D75" i="2"/>
  <c r="D45" i="2"/>
  <c r="D81" i="2"/>
  <c r="D87" i="2"/>
  <c r="D27" i="2"/>
  <c r="D21" i="2"/>
  <c r="D9" i="2"/>
  <c r="D18" i="2"/>
  <c r="D30" i="2"/>
  <c r="D24" i="2"/>
  <c r="D15" i="2"/>
  <c r="D78" i="2"/>
  <c r="D96" i="2"/>
  <c r="H100" i="2" l="1"/>
  <c r="D99" i="2"/>
  <c r="E64" i="6"/>
</calcChain>
</file>

<file path=xl/sharedStrings.xml><?xml version="1.0" encoding="utf-8"?>
<sst xmlns="http://schemas.openxmlformats.org/spreadsheetml/2006/main" count="3103" uniqueCount="802">
  <si>
    <t>TOTAL</t>
  </si>
  <si>
    <t>PLANILHA ORÇAMENTÁRIA</t>
  </si>
  <si>
    <t>BDI</t>
  </si>
  <si>
    <t>ENGENHEIRO CIVIL DE OBRA JUNIOR COM ENCARGOS COMPLEMENTARES</t>
  </si>
  <si>
    <t>ENCARREGADO GERAL DE OBRAS COM ENCARGOS COMPLEMENTARES</t>
  </si>
  <si>
    <t>mês</t>
  </si>
  <si>
    <t xml:space="preserve">unid. </t>
  </si>
  <si>
    <t>m²</t>
  </si>
  <si>
    <t>SETOP</t>
  </si>
  <si>
    <t>ED-21769</t>
  </si>
  <si>
    <t>-</t>
  </si>
  <si>
    <t>DEMOLIÇÕES E REMOÇÕES</t>
  </si>
  <si>
    <t>ED-48468</t>
  </si>
  <si>
    <t>ED-48505</t>
  </si>
  <si>
    <t>SERVIÇOS CIVIS</t>
  </si>
  <si>
    <t>ED-13286</t>
  </si>
  <si>
    <t>FORROS E FECHAMENTOS EM DRY-WALL</t>
  </si>
  <si>
    <t>FORRO DE GESSO EM PLACAS ACARTONADAS - FGA</t>
  </si>
  <si>
    <t>ED-49687</t>
  </si>
  <si>
    <t>SINAPI</t>
  </si>
  <si>
    <t>REJUNTE CIMENTICIO, QUALQUER COR</t>
  </si>
  <si>
    <t>AZULEJISTA OU LADRILHISTA COM ENCARGOS COMPLEMENTARES</t>
  </si>
  <si>
    <t>SERVENTE COM ENCARGOS COMPLEMENTARES</t>
  </si>
  <si>
    <t>COTAÇÃO</t>
  </si>
  <si>
    <t>h</t>
  </si>
  <si>
    <t>ESQUADRIAS</t>
  </si>
  <si>
    <t>PINTURA</t>
  </si>
  <si>
    <t>ED-50480</t>
  </si>
  <si>
    <t>ED-50478</t>
  </si>
  <si>
    <t>EMASSAMENTO EM PAREDE COM MASSA CORRIDA (PVA), DUAS (2) DEMÃOS, INCLUSIVE LIXAMENTO PARA PINTURA</t>
  </si>
  <si>
    <t>EMASSAMENTO EM TETO COM MASSA CORRIDA (PVA), DUAS (2) DEMÃOS, INCLUSIVE LIXAMENTO PARA PINTURA</t>
  </si>
  <si>
    <t>ED-50452</t>
  </si>
  <si>
    <t>PINTURA ACRÍLICA EM TETO, DUAS (2) DEMÃOS, EXCLUSIVE SELADOR ACRÍLICO E MASSA ACRÍLICA/CORRIDA (PVA)</t>
  </si>
  <si>
    <t>PINTURA ACRÍLICA EM PAREDE, DUAS (2) DEMÃOS, EXCLUSIVE SELADOR ACRÍLICO E MASSA ACRÍLICA/CORRIDA (PVA)</t>
  </si>
  <si>
    <t>ADMINISTRAÇÃO LOCAL DA OBRA</t>
  </si>
  <si>
    <t>REGULARIZAÇÃO E MOBILIZAÇÃO</t>
  </si>
  <si>
    <t>m³</t>
  </si>
  <si>
    <t>ED-51134</t>
  </si>
  <si>
    <t>TRANSPORTE DE MATERIAL DE QUALQUER NATUREZA COM CARRINHO DE MÃO, COM DISTÂNCIAS MAIORES QUE 50M E MENORES OU IGUAIS A 100M, INCLUSIVE CARGA/DESGARGA</t>
  </si>
  <si>
    <t>ED-51126</t>
  </si>
  <si>
    <t xml:space="preserve"> LIMPEZA FINAL PARA ENTREGA DA OBRA</t>
  </si>
  <si>
    <t>ED-50266</t>
  </si>
  <si>
    <t>rolo</t>
  </si>
  <si>
    <t xml:space="preserve">PROTEÇÃO DE PISO COM LONA E PLÁSTICO BOLHA </t>
  </si>
  <si>
    <t>CARPINTEIRO DE ESQUADRIA COM ENCARGOS COMPLEMENTARES</t>
  </si>
  <si>
    <t xml:space="preserve">AUXILIAR DE ELETRICISTA COM ENCARGOS COMPLEMENTARES </t>
  </si>
  <si>
    <t>ELETRICISTA COM ENCARGOS COMPLEMENTARES</t>
  </si>
  <si>
    <t>ARGAMASSA COLANTE TIPO AC III</t>
  </si>
  <si>
    <t>1.1</t>
  </si>
  <si>
    <t>1.2</t>
  </si>
  <si>
    <t>2.1</t>
  </si>
  <si>
    <t>2.2</t>
  </si>
  <si>
    <t>2.3</t>
  </si>
  <si>
    <t>3.1</t>
  </si>
  <si>
    <t>3.2</t>
  </si>
  <si>
    <t>3.4</t>
  </si>
  <si>
    <t>3.5</t>
  </si>
  <si>
    <t>5.6</t>
  </si>
  <si>
    <t>4.1</t>
  </si>
  <si>
    <t>5.1</t>
  </si>
  <si>
    <t>6.3</t>
  </si>
  <si>
    <t>5.3</t>
  </si>
  <si>
    <t>5.4</t>
  </si>
  <si>
    <t>5.5</t>
  </si>
  <si>
    <t>6.1</t>
  </si>
  <si>
    <t>6.2</t>
  </si>
  <si>
    <t>6.4</t>
  </si>
  <si>
    <t>8.1</t>
  </si>
  <si>
    <t>9.1</t>
  </si>
  <si>
    <t>9.2</t>
  </si>
  <si>
    <t>9.3</t>
  </si>
  <si>
    <t>9.4</t>
  </si>
  <si>
    <t>9.5</t>
  </si>
  <si>
    <t>10.2</t>
  </si>
  <si>
    <t>11.1</t>
  </si>
  <si>
    <t>11.2</t>
  </si>
  <si>
    <t>11.4</t>
  </si>
  <si>
    <t>11.5</t>
  </si>
  <si>
    <t>12.1</t>
  </si>
  <si>
    <t>12.2</t>
  </si>
  <si>
    <t>12.3</t>
  </si>
  <si>
    <t>12.4</t>
  </si>
  <si>
    <t>%</t>
  </si>
  <si>
    <t>TOTAL GERAL COM BDI</t>
  </si>
  <si>
    <t xml:space="preserve">SERVENTE COM ENCARGOS COMPLEMENTARES </t>
  </si>
  <si>
    <t>PEDREIRO COM ENCARGOS COMPLEMENTARES</t>
  </si>
  <si>
    <t xml:space="preserve">LIMPEZA GERAL </t>
  </si>
  <si>
    <t>PROJETO</t>
  </si>
  <si>
    <t xml:space="preserve">CRONOGRAMA FÍSICO FINANCEIRO </t>
  </si>
  <si>
    <t>ITEM</t>
  </si>
  <si>
    <t>DESCRIÇÃO</t>
  </si>
  <si>
    <t>MÊS</t>
  </si>
  <si>
    <t>R$</t>
  </si>
  <si>
    <t>TOTAL ACUMULADO</t>
  </si>
  <si>
    <t>6</t>
  </si>
  <si>
    <t>10</t>
  </si>
  <si>
    <t>11</t>
  </si>
  <si>
    <t xml:space="preserve">VALOR COM BDI </t>
  </si>
  <si>
    <t>10.1</t>
  </si>
  <si>
    <t>12.5</t>
  </si>
  <si>
    <t>13.1</t>
  </si>
  <si>
    <t>13.2</t>
  </si>
  <si>
    <t>13.3</t>
  </si>
  <si>
    <t>13.4</t>
  </si>
  <si>
    <t>KG</t>
  </si>
  <si>
    <t>TRANSPORTE DE MATERIAL DEMOLIDO EM CAÇAMBA (Município: Belo Horizonte)</t>
  </si>
  <si>
    <t>ED-48436</t>
  </si>
  <si>
    <t>ED-48497</t>
  </si>
  <si>
    <t>CAMADA DE REGULARIZAÇÃO COM ARGAMASSA, TRAÇO 1:3 (CIMENTO E AREIA), ESP. 15MM, APLICAÇÃO MANUAL, PREPARO MECÂNICO</t>
  </si>
  <si>
    <t>PAREDE COM PLACAS DE GESSO ACARTONADO (DRYWALL), PARA USO INTERNO, COM DUAS FACES DUPLAS E ESTRUTURA METÁLICA COM GUIAS SIMPLES, SEM VÃOS. AF_06/2017_P</t>
  </si>
  <si>
    <t>PAREDE COM PLACAS DE GESSO ACARTONADO (DRYWALL), PARA USO INTERNO, COM DUAS FACES SIMPLES E ESTRUTURA METÁLICA COM GUIAS SIMPLES, SEM VÃOS. AF_06/2017_P</t>
  </si>
  <si>
    <t>LÃ DE ROCHA 32KG/M³ - FORNECIMENTO E INSTALAÇÃO</t>
  </si>
  <si>
    <t>H</t>
  </si>
  <si>
    <t xml:space="preserve">PRÓPRIO </t>
  </si>
  <si>
    <t>M²</t>
  </si>
  <si>
    <t>LÃ DE  ROCHA 32 KG/M³</t>
  </si>
  <si>
    <t>COTAÇÃO DE PREÇOS</t>
  </si>
  <si>
    <t>CONTRATANTE:</t>
  </si>
  <si>
    <t>TRIBUNAL DE JUSTIÇA MILITAR DO ESTADO DE MINAS GERAIS</t>
  </si>
  <si>
    <t>MEDIANA</t>
  </si>
  <si>
    <t>CONTRATADA:</t>
  </si>
  <si>
    <t>QUADOO ARQUITETURA CORPORATIVA</t>
  </si>
  <si>
    <t>PROJETO:</t>
  </si>
  <si>
    <t>MÉDIA OU MEDIANA:</t>
  </si>
  <si>
    <t>DESCRIÇÃO / FORNECEDOR</t>
  </si>
  <si>
    <t>UNIDADE</t>
  </si>
  <si>
    <t>PREÇO</t>
  </si>
  <si>
    <t>COT-01</t>
  </si>
  <si>
    <t>UND</t>
  </si>
  <si>
    <t>VALOR:</t>
  </si>
  <si>
    <t>FIM</t>
  </si>
  <si>
    <t>COT-03</t>
  </si>
  <si>
    <t>COT-04</t>
  </si>
  <si>
    <t>MAGAZINE LUIZA</t>
  </si>
  <si>
    <t>COT-06</t>
  </si>
  <si>
    <t>CASA E CONSTRUÇÃO</t>
  </si>
  <si>
    <t>COT-07</t>
  </si>
  <si>
    <t>COT-10</t>
  </si>
  <si>
    <t>COT-11</t>
  </si>
  <si>
    <t>COT-12</t>
  </si>
  <si>
    <t>COT-13</t>
  </si>
  <si>
    <t>COT-14</t>
  </si>
  <si>
    <t>COT-16</t>
  </si>
  <si>
    <t>COT-15</t>
  </si>
  <si>
    <t>LÃ DE ROCHA 32KG/M³</t>
  </si>
  <si>
    <t>PORTAL DA ACÚSTICA</t>
  </si>
  <si>
    <t>MADEIRA MADEIRA</t>
  </si>
  <si>
    <t>TOTAL FORROS E ISOLAMENTOS</t>
  </si>
  <si>
    <t>MONTADOR DE ESTRUTURA METÁLICA COM ENCARGOS COMPLEMENTARES</t>
  </si>
  <si>
    <t xml:space="preserve"> </t>
  </si>
  <si>
    <t>M2</t>
  </si>
  <si>
    <t>REVESTIMENTOS E ROCHAS ORNAMENTAIS</t>
  </si>
  <si>
    <t>COT-02</t>
  </si>
  <si>
    <t>ORSE</t>
  </si>
  <si>
    <t>COT-08</t>
  </si>
  <si>
    <t>COT-09</t>
  </si>
  <si>
    <t>M</t>
  </si>
  <si>
    <t>SIURB</t>
  </si>
  <si>
    <t xml:space="preserve"> TJMMG-CP-09</t>
  </si>
  <si>
    <t xml:space="preserve"> TJMMG-CP-10</t>
  </si>
  <si>
    <t xml:space="preserve"> TJMMG-CP-11</t>
  </si>
  <si>
    <t xml:space="preserve"> TJMMG-CP-12</t>
  </si>
  <si>
    <t xml:space="preserve"> TJMMG-CP-13</t>
  </si>
  <si>
    <t xml:space="preserve"> TJMMG-CP-14</t>
  </si>
  <si>
    <t>UN</t>
  </si>
  <si>
    <t>8.1.1</t>
  </si>
  <si>
    <t>7.1</t>
  </si>
  <si>
    <t>7.2</t>
  </si>
  <si>
    <t>7.3</t>
  </si>
  <si>
    <t>7.4</t>
  </si>
  <si>
    <t>INSTALAÇÕES ELÉTRICAS</t>
  </si>
  <si>
    <t>INFRAESTRUTURA ELÉTRICA</t>
  </si>
  <si>
    <t>CAIXA RETANGULAR 4" X 2" MÉDIA (1,30 M DO PISO), PVC, INSTALADA EM PAREDE - FORNECIMENTO E INSTALAÇÃO. AF_12/2015</t>
  </si>
  <si>
    <t>ACABAMENTOS ELÉTRICOS E LUMINÁRIAS</t>
  </si>
  <si>
    <t>8.2</t>
  </si>
  <si>
    <t>8.2.1</t>
  </si>
  <si>
    <t>PRÓPRIO</t>
  </si>
  <si>
    <t>UNID.</t>
  </si>
  <si>
    <t xml:space="preserve"> TJMMG-CP-22</t>
  </si>
  <si>
    <t xml:space="preserve"> TJMMG-CP-23</t>
  </si>
  <si>
    <t xml:space="preserve"> TJMMG-CP-24</t>
  </si>
  <si>
    <t>CABEAMENTO ESTRUTURADO</t>
  </si>
  <si>
    <t>SISTEMA PCI</t>
  </si>
  <si>
    <t>AR CONDICIONADO</t>
  </si>
  <si>
    <t>11.6</t>
  </si>
  <si>
    <t>11.7</t>
  </si>
  <si>
    <t>11.8</t>
  </si>
  <si>
    <t>11.11</t>
  </si>
  <si>
    <t>COT-18</t>
  </si>
  <si>
    <t xml:space="preserve">PAISAGISMO </t>
  </si>
  <si>
    <t>M³</t>
  </si>
  <si>
    <t>COT-21</t>
  </si>
  <si>
    <t>COT-22</t>
  </si>
  <si>
    <t>CONSTRUÇÃO DE EDIFÍCIOS</t>
  </si>
  <si>
    <t>CONSTRUÇÃO DE RODOVIAS E FERROVIAS</t>
  </si>
  <si>
    <t>CONSTRUÇÃO DE REDES DE ABASTECIMENTO DE ÁGUA, COLETA DE ESGOTO E CONSTRUÇÕES CORRELATAS</t>
  </si>
  <si>
    <t>PRIMEIRO QUARTIL</t>
  </si>
  <si>
    <t>CONSTRUÇÃO DE MANUNTEÇÃO DE ESTAÇÕES E REDES DE DISTRIBUIÇÃO DE ENERGIA ELÉTRICA</t>
  </si>
  <si>
    <t>OBRAS PORTUÁRIAS, MARÍTIMAS E FLUVIAIS</t>
  </si>
  <si>
    <t>CAEMA</t>
  </si>
  <si>
    <t>AC =</t>
  </si>
  <si>
    <t>ADMINISTRAÇÃO CENTRAL =</t>
  </si>
  <si>
    <t>S + G =</t>
  </si>
  <si>
    <t>SEGURO + GARANTIAS =</t>
  </si>
  <si>
    <t>QUARTIL MÉDIO</t>
  </si>
  <si>
    <t>1 QUARTIL</t>
  </si>
  <si>
    <t>3 QUARTIL</t>
  </si>
  <si>
    <t>R =</t>
  </si>
  <si>
    <t>RISCO =</t>
  </si>
  <si>
    <t>ADM</t>
  </si>
  <si>
    <t>SG</t>
  </si>
  <si>
    <t>RI</t>
  </si>
  <si>
    <t>DF</t>
  </si>
  <si>
    <t>LU</t>
  </si>
  <si>
    <t>DF =</t>
  </si>
  <si>
    <t>DESPESAS FINANCEIRAS =</t>
  </si>
  <si>
    <t>L =</t>
  </si>
  <si>
    <t>LUCRO =</t>
  </si>
  <si>
    <t>I =</t>
  </si>
  <si>
    <t>IMPOSTOS =</t>
  </si>
  <si>
    <t>COFINS</t>
  </si>
  <si>
    <t>PIS</t>
  </si>
  <si>
    <t>ISS</t>
  </si>
  <si>
    <t>CPRB</t>
  </si>
  <si>
    <t>BDI =</t>
  </si>
  <si>
    <t>[</t>
  </si>
  <si>
    <t>[(</t>
  </si>
  <si>
    <t>+</t>
  </si>
  <si>
    <t>)x</t>
  </si>
  <si>
    <t>(</t>
  </si>
  <si>
    <t>)]</t>
  </si>
  <si>
    <t>]</t>
  </si>
  <si>
    <t>=</t>
  </si>
  <si>
    <t>)</t>
  </si>
  <si>
    <t>1 - FORMULA CONFORME ACORDAO nº 2622/2013 TCU - PLENÁRIO</t>
  </si>
  <si>
    <t>CONTRTANTE</t>
  </si>
  <si>
    <t>CONTRATADA</t>
  </si>
  <si>
    <t>PROJETO ELÉTRICO: COMO CONSTRUÍDO ("AS BUILT") DE PROJETOS COM ÁREA ATÉ 10.000 M2</t>
  </si>
  <si>
    <t>PROJETO ELÉTRICO: ART - ANOTAÇÃO DE RESPONSABILIDADE TÉCNICA - PROJETO - TAXA PELO VALOR DO PROJETO</t>
  </si>
  <si>
    <t>PROJETO CABEAMENTO ESTRUTURADO: COMO CONSTRUÍDO ("AS BUILT") DE PROJETOS COM ÁREA ATÉ 10.000 M2</t>
  </si>
  <si>
    <t>PROJETO CABEAMENTO ESTRUTURADO: ART - ANOTAÇÃO DE RESPONSABILIDADE TÉCNICA - PROJETO - TAXA PELO VALOR DO PROJETO</t>
  </si>
  <si>
    <t>2.4</t>
  </si>
  <si>
    <t>2.5</t>
  </si>
  <si>
    <t>ART - ANOTAÇÃO DE RESPONSABILIDADE TÉCNICA - PROJETO - TAXA PELO VALOR DA OBRA</t>
  </si>
  <si>
    <t>15.1</t>
  </si>
  <si>
    <t>15.2</t>
  </si>
  <si>
    <t>16.1</t>
  </si>
  <si>
    <t>16.2</t>
  </si>
  <si>
    <t>12</t>
  </si>
  <si>
    <t>13</t>
  </si>
  <si>
    <t>14</t>
  </si>
  <si>
    <t>15</t>
  </si>
  <si>
    <t>16</t>
  </si>
  <si>
    <t>NÃO DESONERADA</t>
  </si>
  <si>
    <t>PLANILHA MODELO:</t>
  </si>
  <si>
    <t>DESONERADA</t>
  </si>
  <si>
    <t>PRAZO DA OBRA:</t>
  </si>
  <si>
    <t>BASES:</t>
  </si>
  <si>
    <t>COT-26</t>
  </si>
  <si>
    <t>COT-27</t>
  </si>
  <si>
    <t>COT-28</t>
  </si>
  <si>
    <t>PAU D'ÁGUA (Dracaena fragrans) EM VASO DE POLIETILENO REDONDO BRANCO 40x40cm</t>
  </si>
  <si>
    <t>COT-29</t>
  </si>
  <si>
    <t>COT-30</t>
  </si>
  <si>
    <t>TOTAL DO ORÇAMENTO:</t>
  </si>
  <si>
    <t>PLANILHA RESUMO</t>
  </si>
  <si>
    <t>COT-31</t>
  </si>
  <si>
    <t>COT-32</t>
  </si>
  <si>
    <t>PLANILHA DE CURVA ABC</t>
  </si>
  <si>
    <t xml:space="preserve">CÓDIGO  </t>
  </si>
  <si>
    <t>RESUMO DOS SERVIÇOS</t>
  </si>
  <si>
    <t>QUANT.</t>
  </si>
  <si>
    <t>PORCENTAGEM ACUMULADA</t>
  </si>
  <si>
    <t>CURVA ABC</t>
  </si>
  <si>
    <t>A</t>
  </si>
  <si>
    <t>B</t>
  </si>
  <si>
    <t xml:space="preserve">TOTAL </t>
  </si>
  <si>
    <t>AMAZON</t>
  </si>
  <si>
    <t xml:space="preserve">	SOLEIRA/PEITORIL EM GRANITO, LARGURA 15 CM, ESPESSURA 2,0 CM. AF_09/2020</t>
  </si>
  <si>
    <t>5.7</t>
  </si>
  <si>
    <t>5.8</t>
  </si>
  <si>
    <t>88247</t>
  </si>
  <si>
    <t>5.9</t>
  </si>
  <si>
    <t>DEMOLIÇÃO DE SOLEIRAS, PEITORIS E DEGRAUS</t>
  </si>
  <si>
    <t>2.8</t>
  </si>
  <si>
    <t>3.3</t>
  </si>
  <si>
    <t>3.8</t>
  </si>
  <si>
    <t>3.9</t>
  </si>
  <si>
    <t>3.11</t>
  </si>
  <si>
    <t>3.12</t>
  </si>
  <si>
    <t>BANDA ACÚSTICA 48MM</t>
  </si>
  <si>
    <t>88278</t>
  </si>
  <si>
    <t>88316</t>
  </si>
  <si>
    <t>ESPAÇO SMART</t>
  </si>
  <si>
    <t>ACRÓPOLUZ</t>
  </si>
  <si>
    <t>INTERRUPTOR SIMPLES (1 MÓDULO), 10A/250V, INCLUINDO SUPORTE E PLACA - FORNECIMENTO E INSTALAÇÃO. AF_12/2015</t>
  </si>
  <si>
    <t>INTERRUPTOR SIMPLES (2 MÓDULOS), 10A/250V, INCLUINDO SUPORTE E PLACA - FORNECIMENTO E INSTALAÇÃO. AF_12/2015</t>
  </si>
  <si>
    <t>LUMINÁRIA</t>
  </si>
  <si>
    <t>MESES</t>
  </si>
  <si>
    <t>PLANILHA DE MEMÓRIA DE CÁLCULO</t>
  </si>
  <si>
    <t>unid.</t>
  </si>
  <si>
    <t>ml</t>
  </si>
  <si>
    <t xml:space="preserve">QUANTITATIVOS DE ACORDO COM QUANTITATIVOS FORNECIDOS PELO PROJETISTA </t>
  </si>
  <si>
    <t xml:space="preserve">CABEAMENTO ESTRUTURADO </t>
  </si>
  <si>
    <t>CONFORME PROJETO</t>
  </si>
  <si>
    <t xml:space="preserve">Volume estimado </t>
  </si>
  <si>
    <t>Térreo | Sala de manutenção predial</t>
  </si>
  <si>
    <t>Térreo | Sala de reunião</t>
  </si>
  <si>
    <t>Térreo | Central de mandato</t>
  </si>
  <si>
    <t xml:space="preserve">Térreo | Sala de manutenção predial </t>
  </si>
  <si>
    <t xml:space="preserve">Térreo | Espera / Atendimento </t>
  </si>
  <si>
    <t>Térreo | Protocolo</t>
  </si>
  <si>
    <t xml:space="preserve">REMANEJAMENTO DE MOBILIÁRIOS PARA TROCA DE PISO </t>
  </si>
  <si>
    <t>Térreo | Espera / Sala de manutenção / Central de mandatos</t>
  </si>
  <si>
    <t xml:space="preserve">Térreo | Arquivo </t>
  </si>
  <si>
    <t xml:space="preserve">REMOÇÃO DE MOBILIÁRIOS: MESAS, CADEIRAS, SOFÁS, ARMÁRIOS, PRATELEIRAS, PERSIANAS, ETC. </t>
  </si>
  <si>
    <t>PISO VINÍLICO EM PLACA 30x30cm COM ESPESSURA 2mm. PAVIFLEX NATURAL COLEÇÃO THRU. COR 668 ARENITO. REF. TARKETT</t>
  </si>
  <si>
    <t>REVESTIMENTO CERÂMICO ESMALTADO DE BORDA ARREDONDADA NO FORMATO 61X61CM, MODELO ASPEN CINZA DA MARCA ROSAGRÊS</t>
  </si>
  <si>
    <t xml:space="preserve">Térreo | Protocolo </t>
  </si>
  <si>
    <t>CREA-MG (2023)</t>
  </si>
  <si>
    <t>PROJETO CLIMATIZAÇÃO: COMO CONSTRUÍDO ("AS BUILT") DE PROJETOS COM ÁREA ATÉ 10.000 M2</t>
  </si>
  <si>
    <t>PROJETO CLIMATIZAÇÃO: ART - ANOTAÇÃO DE RESPONSABILIDADE TÉCNICA - EXECUÇÃO DE OBRA - TAXA PELO VALOR DA OBRA</t>
  </si>
  <si>
    <t>CO-27389</t>
  </si>
  <si>
    <t>REMOÇÃO MANUAL DE LUMINÁRIA COMERCIAL, EMBUTIDA OU SOBREPOR, COM REAPROVEITAMENTO, INCLUSIVE AFASTAMENTO E EMPILHAMENTO, EXCLUSIVE TRANSPORTE E RETIRADA DO MATERIAL REMOVIDO NÃO REAPROVEITÁVEL</t>
  </si>
  <si>
    <t>ED-48463</t>
  </si>
  <si>
    <t>DEMOLIÇÃO MANUAL DE FORRO DE CHAPA OU PLACA DE GESSO, INCLUSIVE DEMOLIÇÃO DA ESTRUTURA DE SUSTENTAÇÃO, AFASTAMENTO E EMPILHAMENTO, EXCLUSIVE TRANSPORTE E RETIRADA DO MATERIAL DEMOLIDO</t>
  </si>
  <si>
    <t>DEMOLIÇÃO MANUAL DE DIVISÓRIA DE DRYWALL, INCLUSIVE AFASTAMENTO E EMPILHAMENTO, EXCLUSIVE TRANSPORTE E RETIRADA DO MATERIAL DEMOLIDO</t>
  </si>
  <si>
    <t>TJMMG-CP-01</t>
  </si>
  <si>
    <t>DEMOLIÇÃO MANUAL DE ALVENARIA DE TIJOLO CERÂMICO MACIÇO, INCLUSIVE AFASTAMENTO E EMPILHAMENTO, EXCLUSIVE TRANSPORTE E RETIRADA DO MATERIAL DEMOLIDO</t>
  </si>
  <si>
    <t>REMOÇÃO MANUAL DE ESQUADRIA EM MADEIRA, COM REAPROVEITAMENTO, INCLUSIVE REMOÇÃO DE MARCO/ALIZAR/ GUARNIÇÕES, AFASTAMENTO E EMPILHAMENTO, EXCLUSIVE TRANSPORTE E RETIRADA DO MATERIAL REMOVIDO NÃO REAPROVEITÁVEL</t>
  </si>
  <si>
    <t>ED-48493</t>
  </si>
  <si>
    <t>REMOÇÃO MANUAL DE ESQUADRIA METÁLICA, COM REAPROVEITAMENTO, INCLUSIVE MARCO/ALIZAR/GUARNIÇÕES, AFASTAMENTO E EMPILHAMENTO, EXCLUSIVE TRANSPORTE E RETIRADA DO MATERIAL REMOVIDO NÃO REAPROVEITÁVEL</t>
  </si>
  <si>
    <t>TJMMG-CP-02</t>
  </si>
  <si>
    <t>TJMMG-CP-03</t>
  </si>
  <si>
    <t>DEMOLIÇÃO MANUAL DE PISO DE PEDRAS (MÁRMORE, GRANITO, ARDÓSIA, ETC.), INCLUSIVE AFASTAMENTO E EMPILHAMENTO, EXCLUSIVE DEMOLIÇÃO DE CONTRAPISO, TRANSPORTE E RETIRADA DO MATERIAL DEMOLIDO</t>
  </si>
  <si>
    <t>ED-48481</t>
  </si>
  <si>
    <t>DEMOLIÇÃO MANUAL DE PISO VINÍLICO, INCLUSIVE AFASTAMENTO E EMPILHAMENTO, EXCLUSIVE TRANSPORTE E RETIRADA DO MATERIAL DEMOLIDO</t>
  </si>
  <si>
    <t>ED-48482</t>
  </si>
  <si>
    <t>DEMOLIÇÃO MANUAL DE RODAPÉ, INCLUSIVE ARGAMASSA DE ASSENTAMENTO E AFASTAMENTO, EXCLUSIVE TRANSPORTE E RETIRADA DO MATERIAL DEMOLIDO</t>
  </si>
  <si>
    <t>REMOÇÃO MANUAL DE PEITORIL DE MÁRMORE OU GRANITO, COM REAPROVEITAMENTO, INCLUSIVE AFASTAMENTO E EMPILHAMENTO, EXCLUSIVE TRANSPORTE E RETIRADA DO MATERIAL REMOVIDO NÃO REAPROVEITÁVEL</t>
  </si>
  <si>
    <t>ED-48478</t>
  </si>
  <si>
    <t xml:space="preserve"> REBOCO COM ARGAMASSA, TRAÇO 1:2:8 (CIMENTO, CAL E AREIA) , ESP. 20MM, APLICAÇÃO MANUAL, INCLUSIVE ARGAMASSA COM PREPARO MECANIZADO, EXCLUSIVE CHAPISCO</t>
  </si>
  <si>
    <t>ED-50761</t>
  </si>
  <si>
    <t>FORRO EM CHAPA DE GESSO ACARTONADO, ESP. 12,5MM, COM FIXAÇÃO DO TIPO ARAMADO, EXCLUSIVE PERFIL TABICA, SANCA E MOLDURA, INCLUSIVE ACESSÓRIOS E FIXAÇÃO</t>
  </si>
  <si>
    <t>TJMMG-CP-04</t>
  </si>
  <si>
    <t>TJMMG-CP-06</t>
  </si>
  <si>
    <t>RODAPÉ EM GRANITO, ALTURA 10 CM. AF_09/2020</t>
  </si>
  <si>
    <t>PINTURA COM VERNIZ SINTÉTICO MARÍTIMO EM BATE MACA DE MADEIRA SEM CORRIMÃO, COM LARGURA DE 15CM E ESP. 2CM, DUAS (2) DEMÃOS, ACABAMENTO TIPO FOSCO</t>
  </si>
  <si>
    <t>ED-9026</t>
  </si>
  <si>
    <t>ED-50496</t>
  </si>
  <si>
    <t>PINTURA ESMALTE EM TUBO GALVANIZADO, DUAS (2) DEMÃOS, INCLUSIVE UMA (1) DEMÃO DE FUNDO ANTICORROSIVO</t>
  </si>
  <si>
    <t>FAST DRYWALL</t>
  </si>
  <si>
    <t xml:space="preserve">CENTER PISO </t>
  </si>
  <si>
    <t xml:space="preserve">COLA BRANCA BASE PVA                                                                                                                                                                                                                                                                                                                                                                                                                                    </t>
  </si>
  <si>
    <t>TAQUEADOR OU TAQUEIRO COM ENCARGOS COMPLEMENTARES</t>
  </si>
  <si>
    <t>SÓ PISO</t>
  </si>
  <si>
    <t>ÁTRIO</t>
  </si>
  <si>
    <t>COT-05</t>
  </si>
  <si>
    <t>ARTESA DRYWALL</t>
  </si>
  <si>
    <t>TOTAL FORROS E ISOLAMENTO</t>
  </si>
  <si>
    <t>AMERICANAS</t>
  </si>
  <si>
    <t>PERFIL PARA FORRO MODULAR AÇO T24 CLICADO 24 X 62,5 MM</t>
  </si>
  <si>
    <t>ARTESANA</t>
  </si>
  <si>
    <t>39427</t>
  </si>
  <si>
    <t>PERFIL CANALETA, FORMATO C, EM ACO ZINCADO, PARA ESTRUTURA FORRO DRYWALL, E = 0,5 MM, *46 X 18* (L X H), COMPRIMENTO 3 M</t>
  </si>
  <si>
    <t>39430</t>
  </si>
  <si>
    <t>PENDURAL OU PRESILHA REGULADORA, EM ACO GALVANIZADO, COM CORPO, MOLA E REBITE, PARA PERFIL TIPO CANALETA DE ESTRUTURA EM FORROS DRYWALL</t>
  </si>
  <si>
    <t>40547</t>
  </si>
  <si>
    <t xml:space="preserve">PARAFUSO ZINCADO, AUTOBROCANTE, FLANGEADO, 4,2 MM X 19 MM </t>
  </si>
  <si>
    <t>CENTO</t>
  </si>
  <si>
    <t xml:space="preserve">43131 </t>
  </si>
  <si>
    <t>ARAME GALVANIZADO 6 BWG, D = 5,16 MM (0,157 KG/M), OU 8 BWG, D = 4,19 MM ( KG CR 0,0426000 29,50 1,25
0,101 KG/M), OU 10 BWG, D = 3,40 MM (0,0713 KG/M)</t>
  </si>
  <si>
    <t xml:space="preserve">MONTADOR DE ESTRUTURA METÁLICA COM ENCARGOS COMPLEMENTARES </t>
  </si>
  <si>
    <t>LEROY MERLIN</t>
  </si>
  <si>
    <t>ZZATFULL</t>
  </si>
  <si>
    <t>BIG LAR</t>
  </si>
  <si>
    <t>LUMINÁRIA PARA LÂMPADA LED DE EMBUTIR. COM ALETAS E REFLETORES PARABÓLICOS EM ALUMÍNIO 124X31CM</t>
  </si>
  <si>
    <t>LUMINÁRIA PARA LÂMPADA LED DE EMBUTIR. COM ALETAS E REFLETORES PARABÓLICOS EM ALUMÍNIO 62X62CM</t>
  </si>
  <si>
    <t>PAINEL LED DE EMBUTIR SLIM 62X62CM</t>
  </si>
  <si>
    <t>LUMICENTER</t>
  </si>
  <si>
    <t>TEMPLUZ</t>
  </si>
  <si>
    <t>AMPLA</t>
  </si>
  <si>
    <t>MARELLI</t>
  </si>
  <si>
    <t>PROJETOUM</t>
  </si>
  <si>
    <t>COT-17</t>
  </si>
  <si>
    <t>COT-19</t>
  </si>
  <si>
    <t>cj</t>
  </si>
  <si>
    <t>COT-20</t>
  </si>
  <si>
    <t>JARDINEIROS</t>
  </si>
  <si>
    <t>FLORA DELIVERY</t>
  </si>
  <si>
    <t>SITIO DA MATA</t>
  </si>
  <si>
    <t xml:space="preserve">VIDRACEIRO COM ENCARGOS COMPLEMENTARES  </t>
  </si>
  <si>
    <t>88325</t>
  </si>
  <si>
    <t>CONJ. DE FERRAGENS PARA PORTA DE VIDRO TEMPERADO, EM ZAMAC CROMADO, CONTEM PLANDO DOBRADICA INF., DOBRADICA SUP., PIVO PARA DOBRADICA INF., PIVO PARA DOBRADICA SUP., FECHADURA CENTRAL EM ZAMC. CROMADO, CONTRA FECHADURA DE PRESSAO</t>
  </si>
  <si>
    <t xml:space="preserve">PROTETOR DE PISO </t>
  </si>
  <si>
    <t xml:space="preserve">COLOCAÇÃO DE FITA PROTETORA PARA PINTURA. AF_01/2020 </t>
  </si>
  <si>
    <t>ROLO</t>
  </si>
  <si>
    <t>LEROY MERLIN (Foi utlizado o preço sem o desconto)</t>
  </si>
  <si>
    <t>MERCADO LIVRE</t>
  </si>
  <si>
    <t>ITENS DIVERSOS</t>
  </si>
  <si>
    <t xml:space="preserve">CABOS, FIAÇÕES E ACESSÓRIOS </t>
  </si>
  <si>
    <t>CABO DE COBRE FLEXÍVEL, CLASSE 5, ISOLAMENTO TIPO EPR/HEPR, NÃO HALOGENADO, ANTICHAMA, TERMOFIXO, UNIPOLAR, SEÇÃO 2,5 MM2, 90°C, 0,6/1KV</t>
  </si>
  <si>
    <t>ED-48989</t>
  </si>
  <si>
    <t>FITA ISOLANTE ALTA FUSÃO 19 MM X 10M - FORNECIMENTO</t>
  </si>
  <si>
    <t>FORNECIMENTO DE TERMINAL PRÉ-ISOLADO TIPO GARFO SÉRIE MÉTRICA PARA CABO 2,5 MM²</t>
  </si>
  <si>
    <t>ANILHA (MARCADOR) PARA IDENTIFICAÇÃO DE CABOS (# 6 MM2) - 500 UN</t>
  </si>
  <si>
    <t>ED-48361</t>
  </si>
  <si>
    <t>FORNECIMENTO DE ABRAÇADEIRA PLÁSTICA SERRILHADA 232 MM</t>
  </si>
  <si>
    <t>ELETRODUTOS, CAIXAS E ACESSÓRIOS</t>
  </si>
  <si>
    <t>ELETRODUTO DE AÇO GALVANIZADO LEVE, INCLUSIVE CONEXÕES, SUPORTES E FIXAÇÃO DN 25 (1")</t>
  </si>
  <si>
    <t>ED-49318</t>
  </si>
  <si>
    <t>ELETRODUTO DE AÇO GALVANIZADO LEVE, INCLUSIVE CONEXÕES, SUPORTES E FIXAÇÃO DN 20 (3/4"</t>
  </si>
  <si>
    <t>ED-49317</t>
  </si>
  <si>
    <t>ELETRODUTO DE PVC RÍGIDO ROSCÁVEL, DN 20 MM (3/4"), INCLUSIVE CONEXÕES, SUPORTES E FIXAÇÃO</t>
  </si>
  <si>
    <t>ED-49308</t>
  </si>
  <si>
    <t>CONDULETE DE ALUMÍNIO, TIPO X, PARA ELETRODUTO DE AÇO GALVANIZADO DN 25 MM (1''), APARENTE - FORNECIMENTO E INSTALAÇÃO. AF_10/2022</t>
  </si>
  <si>
    <t>CONDULETE DE ALUMÍNIO, TIPO X, PARA ELETRODUTO DE AÇO GALVANIZADO DN 20 MM (3/4''), APARENTE - FORNECIMENTO E INSTALAÇÃO. AF_10/2022</t>
  </si>
  <si>
    <t>BOX RETO DE ALUMÍNIO DE 1"</t>
  </si>
  <si>
    <t>BOX RETO DE ALUMÍNIO DE 3/4"</t>
  </si>
  <si>
    <t>10620 ADP.</t>
  </si>
  <si>
    <t>PARAFUSO COM BUCHA S-6</t>
  </si>
  <si>
    <t>CJ</t>
  </si>
  <si>
    <t xml:space="preserve">PARAFUSO COM BUCHA S-6 </t>
  </si>
  <si>
    <t>2682</t>
  </si>
  <si>
    <t>ELETROCALHA E ACESSÓRIOS</t>
  </si>
  <si>
    <t>FORNECIMENTO E INSTALAÇÃO DE SAÍDA HORIZONTAL PARA ELETRODUTO 1" (REF. VL 33 VALEMAM OU SIMILAR)</t>
  </si>
  <si>
    <t>FORNECIMENTO E INSTALAÇÃO DE SAÍDA HORIZONTAL PARA ELETRODUTO 3/4" (REF. VL 33 VALEMAM OU SIMILAR)</t>
  </si>
  <si>
    <t>ARRUELA LISA ZINCADA D=1/4"</t>
  </si>
  <si>
    <t>PARAFUSO CABEÇA LENTILHA AUTO-TRAVANTE 1/4" X 3/4 ", BICROMATIZADA</t>
  </si>
  <si>
    <t>PORCA SEXTAVADA ZINCADA 1/4" (FORNECIMENTO E COLOCAÇÃO)</t>
  </si>
  <si>
    <t>TOMADA MÉDIA DE EMBUTIR (1 MÓDULO), 2P+T 10 A, INCLUINDO SUPORTE E PLACA - FORNECIMENTO E INSTALAÇÃO. AF_03/2023</t>
  </si>
  <si>
    <t>TOMADA MÉDIA DE EMBUTIR (2 MÓDULOS), 2P+T 10 A, INCLUINDO SUPORTE E PLACA - FORNECIMENTO E INSTALAÇÃO. AF_03/2023</t>
  </si>
  <si>
    <t>QUEBRA EM ALVENARIA PARA INSTALAÇÃO DE CAIXA DE TOMADA (4X4 OU 4X2). AF_05/2015</t>
  </si>
  <si>
    <t>TAMPA CEGA COM FURO CENTRAL 2x4'', INCLUINDO SUPORTE E PLACA - FORNECIMENTO E INSTALAÇÃO.</t>
  </si>
  <si>
    <t>SINAPI ADP.</t>
  </si>
  <si>
    <t>91946 ADP.</t>
  </si>
  <si>
    <t>AUXILIAR DE ELETRICISTA COM ENCARGOS COMPLEMENTARES</t>
  </si>
  <si>
    <t>PLAQUETA ACRÍLICA PANTOGRAFADA</t>
  </si>
  <si>
    <t>CONJUNTO DE FITA ISOLANTE COLORIDA (AZUL, BRANCO, VERMELHO, AMARELO E VERDE)</t>
  </si>
  <si>
    <t>CABO DE COBRE FLEXÍVEL, COM ISOLAMENTO TERMOPLÁSTICO POLIOLEFINICO NÃO HALOGENADO 1000V, BITOLA 3 X 2,5 MM2</t>
  </si>
  <si>
    <t>11413 ADP.</t>
  </si>
  <si>
    <t>ORSE ADP.</t>
  </si>
  <si>
    <t>INSTALAÇÕES ELÉTRICAS ESTABILIZADAS</t>
  </si>
  <si>
    <t>ACABAMENTOS ELÉTRICOS</t>
  </si>
  <si>
    <t>CONECTOR RETO DE ALUMÍNIO 3/4"</t>
  </si>
  <si>
    <t>PARAFUSO COM BUCHA S-8</t>
  </si>
  <si>
    <t>CONECTOR RETO DE ALUMÍNIO 1"</t>
  </si>
  <si>
    <t>FORNECIMENTO E INSTALAÇÃO DE SWITCH 24 PORTAS GERECIÁVEL POE 10 / 100 / 1000 + 4SFP</t>
  </si>
  <si>
    <t>PATCH PANEL 24 POSIÇÕES, CATEGORIA COM GUIA TRASEIRO</t>
  </si>
  <si>
    <t>ED-48373</t>
  </si>
  <si>
    <t>ORGANIZADOR DE CABOS DE 1U PARA RACK 19"</t>
  </si>
  <si>
    <t>ED-48377</t>
  </si>
  <si>
    <t>ELETRODUTO DE AÇO GALVANIZADO LEVE, INCLUSIVE CONEXÕES, SUPORTES E FIXAÇÃO DN 20 (3/4")</t>
  </si>
  <si>
    <t>11819 APD.</t>
  </si>
  <si>
    <t>ABRAÇADEIRA EM AÇO INOX, TIPO "D" 1"</t>
  </si>
  <si>
    <t>ED-5631</t>
  </si>
  <si>
    <t>MÓDULO PARA REDE (CONECTOR RJ45 CAT.6), INCLUSIVE FORNECIMENTO E INSTALAÇÃO, EXCLUSIVE PLACA E SUPORTE</t>
  </si>
  <si>
    <t>CERTIFICAÇÃO E TESTES</t>
  </si>
  <si>
    <t>CERTIFICAÇÃO DE GARANTIA DE TRANSMISSÃO DE CABOS LÓGICOS CAT. 5/6</t>
  </si>
  <si>
    <t>ED-48368</t>
  </si>
  <si>
    <t>CABOS, TOMADAS E ACESSÓRIOS</t>
  </si>
  <si>
    <t>CABO UTP 4 PARES CATEGORIA 6 COM REVESTIMENTO EXTERNO NÃO PROPAGANTE A CHAMA</t>
  </si>
  <si>
    <t>ED-48365</t>
  </si>
  <si>
    <t>PARAFUSO COM PORCA GAIOLA</t>
  </si>
  <si>
    <t xml:space="preserve">RACK E COMPONENTES </t>
  </si>
  <si>
    <t>96366 ADP.</t>
  </si>
  <si>
    <t>SÉPTOS COM PLACAS DE GESSO ACARTONADO (DRYWALL), PARA USO INTERNO, COM DUAS FACES DUPLAS E ESTRUTURA METÁLICA COM GUIAS SIMPLES.</t>
  </si>
  <si>
    <t>REMOÇÃO DE DETECTOR DE FUMAÇA</t>
  </si>
  <si>
    <t xml:space="preserve">UN </t>
  </si>
  <si>
    <t xml:space="preserve"> FORRO MINERAL REMOVÍVEL MODULAR (1250x625x15MM) THERMATEX ANTARIS.
ESTRUTURA APARENTE SK. COR BRANCO. REF. KANUF</t>
  </si>
  <si>
    <t>FORRO MINERAL REMOVÍVEL MODULAR (625x625x15MM) THERMATEX ANTARIS.
ESTRUTURA APARENTE SK. COR BRANCO. REF. KNAUF</t>
  </si>
  <si>
    <t xml:space="preserve"> ILHA EM FORRO ACÚSTICO DE FIBRA MINERAL COR BRANCO. PLACAS DE 625x625MM. ESPESSURA 19MM. LINHA THERMATEX ANTARIS. ESTRUTURA APARENTE SK. REF. KNAUF CEILING SOLUTIONS</t>
  </si>
  <si>
    <t>PISO VINÍLICO EM PLACA 30x30cM COM ESPESSURA 2MM. PAVIFLEX NATURAL COLEÇÃO THRU. COR 668 ARENITO. REF. TARKETT</t>
  </si>
  <si>
    <t>REINSTALAÇÃO DE RODAPÉ EM MADEIRA IPÊ COM VERNIZ MARÍTIMO IPÊ. h=7cM - MATERIAL REAPROVEITADO  (INCLUSO APLICAÇÃO DE VERNIZ)</t>
  </si>
  <si>
    <t>DV01: CONJUNTO DE DIVISÓRIA PISO TETO COM 90MM DE ESPESSURA, E VIDRO DUPLO 8MM TEMPERADO. ESTRUTURA EM QUADROS PARA VIDRO DUPLO EM 100% ALUMÍNIO COM ACABAMENTO ANODIZADO NA COR PRETO.</t>
  </si>
  <si>
    <t>2.6</t>
  </si>
  <si>
    <t>2.7</t>
  </si>
  <si>
    <t>3.6</t>
  </si>
  <si>
    <t>3.7</t>
  </si>
  <si>
    <t>3.10</t>
  </si>
  <si>
    <t>4.2</t>
  </si>
  <si>
    <t>5.2</t>
  </si>
  <si>
    <t>6.5</t>
  </si>
  <si>
    <t>7.1.1</t>
  </si>
  <si>
    <t>7.2.1</t>
  </si>
  <si>
    <t>7.2.2</t>
  </si>
  <si>
    <t>7.2.3</t>
  </si>
  <si>
    <t>7.2.4</t>
  </si>
  <si>
    <t>7.2.5</t>
  </si>
  <si>
    <t>7.3.1</t>
  </si>
  <si>
    <t>7.3.2</t>
  </si>
  <si>
    <t>7.3.3</t>
  </si>
  <si>
    <t>7.3.4</t>
  </si>
  <si>
    <t>7.3.5</t>
  </si>
  <si>
    <t>7.3.6</t>
  </si>
  <si>
    <t>7.3.7</t>
  </si>
  <si>
    <t>7.3.8</t>
  </si>
  <si>
    <t>7.3.9</t>
  </si>
  <si>
    <t>7.3.10</t>
  </si>
  <si>
    <t>7.4.1</t>
  </si>
  <si>
    <t>7.4.2</t>
  </si>
  <si>
    <t>7.4.3</t>
  </si>
  <si>
    <t>7.4.4</t>
  </si>
  <si>
    <t>7.5</t>
  </si>
  <si>
    <t>7.5.1</t>
  </si>
  <si>
    <t>7.5.2</t>
  </si>
  <si>
    <t>7.5.3</t>
  </si>
  <si>
    <t>7.5.4</t>
  </si>
  <si>
    <t>7.5.5</t>
  </si>
  <si>
    <t>7.5.6</t>
  </si>
  <si>
    <t>7.5.7</t>
  </si>
  <si>
    <t>7.5.8</t>
  </si>
  <si>
    <t>7.5.9</t>
  </si>
  <si>
    <t>7.6.1</t>
  </si>
  <si>
    <t>7.6.2</t>
  </si>
  <si>
    <t>7.6.3</t>
  </si>
  <si>
    <t>7.6.4</t>
  </si>
  <si>
    <t>8.3</t>
  </si>
  <si>
    <t>8.3.1</t>
  </si>
  <si>
    <t>8.3.2</t>
  </si>
  <si>
    <t>8.4</t>
  </si>
  <si>
    <t>8.4.1</t>
  </si>
  <si>
    <t>8.4.2</t>
  </si>
  <si>
    <t>8.4.3</t>
  </si>
  <si>
    <t>8.4.4</t>
  </si>
  <si>
    <t>8.4.5</t>
  </si>
  <si>
    <t>8.5</t>
  </si>
  <si>
    <t>8.5.1</t>
  </si>
  <si>
    <t>8.5.2</t>
  </si>
  <si>
    <t>8.5.3</t>
  </si>
  <si>
    <t>8.5.4</t>
  </si>
  <si>
    <t>9.1.1</t>
  </si>
  <si>
    <t>9.1.2</t>
  </si>
  <si>
    <t>9.2.1</t>
  </si>
  <si>
    <t>9.2.2</t>
  </si>
  <si>
    <t>9.2.3</t>
  </si>
  <si>
    <t>9.2.4</t>
  </si>
  <si>
    <t>9.2.5</t>
  </si>
  <si>
    <t>9.2.6</t>
  </si>
  <si>
    <t>9.3.1</t>
  </si>
  <si>
    <t>9.4.1</t>
  </si>
  <si>
    <t>9.5.1</t>
  </si>
  <si>
    <t>9.5.2</t>
  </si>
  <si>
    <t>9.5.3</t>
  </si>
  <si>
    <t>9.5.4</t>
  </si>
  <si>
    <t>13.5</t>
  </si>
  <si>
    <t>14.1</t>
  </si>
  <si>
    <t>REINSTALAÇÃO DE DETECTOR DE FUMAÇA</t>
  </si>
  <si>
    <t>Térreo | Sala de manutenção predial + reunião</t>
  </si>
  <si>
    <t>COT-23</t>
  </si>
  <si>
    <t>COT-24</t>
  </si>
  <si>
    <t>COT-25</t>
  </si>
  <si>
    <t>REPOSICIONAR MOBILIÁRIO CONFORME NOVO LAYOUT</t>
  </si>
  <si>
    <t>REMANEJAMENTO DE MOBILIÁRIOS PARA TROCA DE PISO (VOLTAR PARA POSIÇÃO INICIAL)</t>
  </si>
  <si>
    <t>CORTINAS E MOBILIÁRIOS</t>
  </si>
  <si>
    <t>REV_00</t>
  </si>
  <si>
    <t>PRINCE</t>
  </si>
  <si>
    <t>FRIO SHOPPING</t>
  </si>
  <si>
    <t>NOVA EXAUSTORES</t>
  </si>
  <si>
    <t xml:space="preserve">DIFUS-AR </t>
  </si>
  <si>
    <t>CAIXA DE FILTRO MFL-C-100 C/ FILTRO M5</t>
  </si>
  <si>
    <t>MEGA GROW</t>
  </si>
  <si>
    <t>MINI VENTILADOR AXIAL 250/100 TD SILENT</t>
  </si>
  <si>
    <t>DIFUS-AR</t>
  </si>
  <si>
    <t>GRELHAS PARA INSUFLAMENTO, MOD. AT-AG, TAM. 225x125mm</t>
  </si>
  <si>
    <t>GRELHAS PARA CAPTAÇÃO DE AR EXTERIOR, MOD. GRA-100, TAM.  165x165mm</t>
  </si>
  <si>
    <t>MULTIVAC</t>
  </si>
  <si>
    <t xml:space="preserve"> 1 SPLIT HI-WALL COM CONDENSADORA (9.000 BTUS) + 1 EVAPORADORA DE 9.000 BTU'S</t>
  </si>
  <si>
    <t>STR-AR</t>
  </si>
  <si>
    <t>FRIGELAR</t>
  </si>
  <si>
    <t>POLOAR</t>
  </si>
  <si>
    <t>DUTO EM CHAPA DE AÇO GALVANIZADO Nº. 26, PARA AR CONDICIONADO. FORNECIMENTO, MONTAGEM E INSTALAÇÃO</t>
  </si>
  <si>
    <t>TUBO PVC, SERIE NORMAL, ESGOTO PREDIAL, DN 100 MM, FORNECIDO E INSTALADO EM RAMAL DE DESCARGA OU RAMAL DE ESGOTO SANITÁRIO. AF_08/2022</t>
  </si>
  <si>
    <t>UN.</t>
  </si>
  <si>
    <t>TUBO EM COBRE FLEXÍVEL, DN 1/4", COM ISOLAMENTO, INSTALADO EM RAMAL DE ALIMENTAÇÃO DE AR CONDICIONADO COM CONDENSADORA CENTRAL FORNECIMENTO E INSTALAÇÃO. AF_12/2015</t>
  </si>
  <si>
    <t>TUBO EM COBRE FLEXÍVEL, DN 3/8", COM ISOLAMENTO, INSTALADO EM RAMAL DE ALIMENTAÇÃO DE AR CONDICIONADO COM CONDENSADORA CENTRAL FORNECIMENTO E INSTALAÇÃO. AF_12/2015</t>
  </si>
  <si>
    <t>TUBO EM COBRE FLEXÍVEL, DN 5/8", COM ISOLAMENTO, INSTALADO EM RAMAL DE ALIMENTAÇÃO DE AR CONDICIONADO COM CONDENSADORA CENTRAL FORNECIMENTO E INSTALAÇÃO. AF_12/2015</t>
  </si>
  <si>
    <t>9845 ADP.</t>
  </si>
  <si>
    <t>ORSE / COTAÇÃO</t>
  </si>
  <si>
    <t>MECANICO DE REFRIGERACAO (HORISTA)</t>
  </si>
  <si>
    <t>MINI VENTILADOR AXIAL 250/100 TD SILENT E CAIXA DE FILTRO MFL-C-100 C/ FILTRO M5</t>
  </si>
  <si>
    <t>11148 ADP.2</t>
  </si>
  <si>
    <t>10762 ADP.1</t>
  </si>
  <si>
    <t>103246 ADP.</t>
  </si>
  <si>
    <t>SINAPI / COTAÇÃO</t>
  </si>
  <si>
    <t>TERMINAL A COMPRESSAO EM COBRE ESTANHADO PARA CABO 2,5 MM2, 1 FURO E 1 COMPRESSAO, PARA PARAFUSO DE FIXACAO M</t>
  </si>
  <si>
    <t>11976</t>
  </si>
  <si>
    <t>13246</t>
  </si>
  <si>
    <t>BUCHA DE NYLON SEM ABA S10, COM PARAFUSO DE 6,10 X 65 MM EM ACO ZINCADO COM ROSCA SOBERBA, CABECA CHATA E FENDA PHILLIPS</t>
  </si>
  <si>
    <t xml:space="preserve">CHUMBADOR, DIAMETRO 1/4" COM PARAFUSO 1/4" X 40 MM </t>
  </si>
  <si>
    <t>PARAFUSO DE FERRO POLIDO, SEXTAVADO, COM ROSCA INTEIRA, DIAMETRO 5/16", COMPRIMENTO 3/4", COM PORCA E ARRUELA LISA LEVE</t>
  </si>
  <si>
    <t>SUPORTE MAO-FRANCESA EM ACO, ABAS IGUAIS 40 CM, CAPACIDADE MINIMA 70 KG, BRANCO</t>
  </si>
  <si>
    <t xml:space="preserve">AJUDANTE ESPECIALIZADO COM ENCARGOS COMPLEMENTARES </t>
  </si>
  <si>
    <t>TERMINAL A COMPRESSAO EM COBRE ESTANHADO PARA CABO 2,5 MM2, 1 FURO E 1 COMPRESSAO, PARA PARAFUSO DE FIXACAO</t>
  </si>
  <si>
    <t>ARRUELA EM ACO GALVANIZADO, DIAMETRO EXTERNO = 35MM, ESPESSURA = 3MM, DIAMETRO DO FURO= 18MM</t>
  </si>
  <si>
    <t>39997</t>
  </si>
  <si>
    <t xml:space="preserve">PORCA ZINCADA, SEXTAVADA, DIAMETRO 1/4" </t>
  </si>
  <si>
    <t>REMOÇÃO DE MINI VENTILADORES SICFLUX.</t>
  </si>
  <si>
    <t xml:space="preserve"> TJMMG-CP-25</t>
  </si>
  <si>
    <t>REPOSICIONAR CORTINA DE AR</t>
  </si>
  <si>
    <t>11509 ADP.</t>
  </si>
  <si>
    <t>GÁS R410 A</t>
  </si>
  <si>
    <t>GÁS R410 A - FORNECIMENTO E INSTALAÇÃO</t>
  </si>
  <si>
    <t>MOBILIZAÇÃO E DESMOBILIZAÇÃO DE OBRA EM CENTRO URBANO OU REGIÃO LIMÍTROFE COM VALOR ENTRE 1.000.000,01 E 3.000.000,00</t>
  </si>
  <si>
    <t>ELETROFLASH</t>
  </si>
  <si>
    <t>DIMENSIONAL</t>
  </si>
  <si>
    <t>SCHNEIDER</t>
  </si>
  <si>
    <t>DISJUNTOR BIPOLAR TIPO DIN, CORRENTE NOMINAL DE 2A REF. SCHNEIDER</t>
  </si>
  <si>
    <t>SANTIL</t>
  </si>
  <si>
    <t>ELETROFRIGOR</t>
  </si>
  <si>
    <t>CABO DE COBRE FLEXÍVEL, 1000V, BITOLA 3 X 2,5 MM2 REF. SIL</t>
  </si>
  <si>
    <t>MULTIPRATI-K</t>
  </si>
  <si>
    <t xml:space="preserve">ADECIL </t>
  </si>
  <si>
    <t>FITA ISOLANTE COLORIDA 20M</t>
  </si>
  <si>
    <t>INFRAESTRUTURA ELÉTRICA ESTABILIZADA</t>
  </si>
  <si>
    <t>11978 ADP. 2</t>
  </si>
  <si>
    <t>11978 ADP. 1</t>
  </si>
  <si>
    <t>Caçamba (5m³) x 15 unidades</t>
  </si>
  <si>
    <t>CÓDIGO</t>
  </si>
  <si>
    <t>BANCO</t>
  </si>
  <si>
    <t>VALOR UNITÁRIO</t>
  </si>
  <si>
    <t>VALOR UNITÁRIO COM BDI</t>
  </si>
  <si>
    <t>VALOR TOTAL</t>
  </si>
  <si>
    <t>CONTRATANTE</t>
  </si>
  <si>
    <t>P02: PORTA PARA DIVISÓRIA COM VIDRO DUPLO 6MM TEMPERADO. ESTRUTURA EM  ALUMÍNIO COM ACABAMENTO ANODIZADO NA COR PRETO. FECHADURA PARA
PORTA 517 TUBULAR INOX INTERNO ST2 55 ROS 357 INOX PRETO FOSCO. FAB.
LA FONTE OU EQUIVALENTE.</t>
  </si>
  <si>
    <t xml:space="preserve">ADESIVO ACRILICO DE BASE AQUOSA / COLA DE CONTATO                                                                                                                                                                                                                                                                                                                                                                                                                                            </t>
  </si>
  <si>
    <t xml:space="preserve">VALOR  TOTAL </t>
  </si>
  <si>
    <t>C</t>
  </si>
  <si>
    <t>ED-21776</t>
  </si>
  <si>
    <t>ED-50392</t>
  </si>
  <si>
    <t>VALOR TOTAL COM BDI</t>
  </si>
  <si>
    <t>TOTAL GERAL</t>
  </si>
  <si>
    <t xml:space="preserve">ED-50371 </t>
  </si>
  <si>
    <t xml:space="preserve">ED-50367 </t>
  </si>
  <si>
    <t>ED-50451</t>
  </si>
  <si>
    <t>REFORMA DA SEDE: TÉRREO</t>
  </si>
  <si>
    <t>Térreo | Arquivo  (luminária de emergência)</t>
  </si>
  <si>
    <t>3.13</t>
  </si>
  <si>
    <t>DEMOLIÇÃO MANUAL DE PISO CERÂMICO OU LADRILHO HIDRÁULICO, INCLUSIVE AFASTAMENTO E EMPILHAMENTO, EXCLUSIVE DEMOLIÇÃO DE CONTRAPISO, TRANSPORTE E RETIRADA DO MATERIAL DEMOLIDO</t>
  </si>
  <si>
    <t>ED-48480</t>
  </si>
  <si>
    <t>DEMOLIÇÃO DE RODAPÉ EM GERAL, INCLUSIVE ARGAMASSA DE ASSENTAMENTO</t>
  </si>
  <si>
    <t>PISTOLA DE FIXAÇÃO FINCA PINO (SITEMA DE FIXAÇÃO: PÓLVORA|CALIBRE: .27| OPERADOR: NÃO INCLUSO)</t>
  </si>
  <si>
    <t>EQED-17995</t>
  </si>
  <si>
    <t>MATED-8133</t>
  </si>
  <si>
    <t>MATED-8134</t>
  </si>
  <si>
    <t>MATED-8137</t>
  </si>
  <si>
    <t>FITA MICROPERFURADA (LARGURA: 5CM|APLICAÇÃO:TRATAMENTO DE JUNTA EM
CHAPA DE GESSO PARA ACARTONADO)</t>
  </si>
  <si>
    <t>MASSA DE REJUNTE (APLICAÇÃO: CHAPA DE GESSO ACARTONADO)</t>
  </si>
  <si>
    <t>PARAFUSO (ROSCA: AUTO ATARRAXANTE|CABEÇA: LENTILHA|MATERIAL: AÇO|
ACABAMENTO: ZINCADO| COMPRIMENTO: 9,5MM| DIAMETRO: 4,2MM| APLICAÇÃO: CHAPA DE GESSO ACARTONADO)</t>
  </si>
  <si>
    <t>UNIÃO (MATERIAL: AÇO GALVANIZADO|LARGURA: 40MM|COMPRIMENTO: 90MM| ESPESSURA: 0,5MM| APLICAÇÃO: PERFIL CANALETA "C")</t>
  </si>
  <si>
    <t>TIRANTE (MATERIAL: AÇO GALVANIZADO|NÚMERO: 10| DIÂMETRO*: 4,19MM|
COMPRIMENTO: 50CM)* VALORES REFERENCIAIS APROXIMADOS</t>
  </si>
  <si>
    <t>PRESILHA REGULADORA PARA PERFIL (MATERIAL: AÇO GALVANIZADO| LARGURA: 43MM|ESPESSURA : 0,95MM|COMPRIMENTO*: 114MM)*VALORES REFERENCIAIS APROXIMADOS</t>
  </si>
  <si>
    <t>PARAFUSO (ROSCA: AUTO ATARRAXANTE|CABEÇA: TROMBETA|MATERIAL: AÇO|
ACABAMENTO: FOSFATIZADO| COMPRIMENTO: 25MM| DIÂMETRO: 3,5MM|
APLICAÇÃO: CHAPA DE GESSO ACARTONADO)</t>
  </si>
  <si>
    <t>PINO LISO (MEDIDAS: 1/ 4"X28MM|MATERIAL: AÇO| ARRUELA: CÔNICA)</t>
  </si>
  <si>
    <t>MATED-8135</t>
  </si>
  <si>
    <t>MATED-17987</t>
  </si>
  <si>
    <t>MATED-28771</t>
  </si>
  <si>
    <t>MATED-28781</t>
  </si>
  <si>
    <t>MATED-28782</t>
  </si>
  <si>
    <t>CANTONEIRA COM ABAS DESIGUAIS (SÉRIE: MÉTRICA| MATERIAL: AÇO|DIMENSÕES: 13X30MM|ESPESSURA: 3/16" OU 4,76MM|MASSA LINEAR: 0, 18KG/M) - FORNECIMENTO, EXCLUSIVE SERVIÇO DE MONTAGEM/INSTALAÇÃO</t>
  </si>
  <si>
    <t>GESSEIRO COM ENCARGOS COMPLEMENTARES</t>
  </si>
  <si>
    <t>MONTADOR COM ENCARGOS COMPLEMENTARES</t>
  </si>
  <si>
    <t>ED-28779</t>
  </si>
  <si>
    <t>ED-50376</t>
  </si>
  <si>
    <t>ED-50380</t>
  </si>
  <si>
    <t>ED-28780</t>
  </si>
  <si>
    <t>ED-50367</t>
  </si>
  <si>
    <t>MATED-8139</t>
  </si>
  <si>
    <t>CHAPA DE GESSO ACARTONADO (TIPO: RESISTÊNCIA A UMIDADE [RU ]|COR: VERDE|ESPESSURA: 12,5 MM|LARGURA: 120CM| ALTURA*: 180CM|PESO: 12[KG /M2])*VALOR REFERENCIAL</t>
  </si>
  <si>
    <t>TJMMG-CP-27</t>
  </si>
  <si>
    <t>FORRO EM CHAPA DE GESSO ACARTONADA (TIPO: RESISTÊNCIA A UMIDADE (RU), ESP. 12,5MM, COM FIXAÇÃO DO TIPO ESTRUTURADA EM PERFIL METÁLICO, EXCLUSIVE PERFIL TABICA, SANCA E MOLDURA, INCLUSIVE ACESSÓRIOS E FIXAÇÃO</t>
  </si>
  <si>
    <t>Térreo | Fechamento das salas</t>
  </si>
  <si>
    <t>Térreo | Fechamento peitoril da sala</t>
  </si>
  <si>
    <t>Térreo | Fechamento vão recepção</t>
  </si>
  <si>
    <t>Térreo | Acima das divisórias de vidro (SE1)</t>
  </si>
  <si>
    <t>Térreo | Nivelar parede</t>
  </si>
  <si>
    <t>PISO EM GRANITO APLICADO EM AMBIENTES INTERNOS. AF_09/2020</t>
  </si>
  <si>
    <t>RODAPE COM REVESTIMENTO CERÂMICO ESMALTADO DE BORDA ARREDONDADA NO FORMATO 61X61CM, MODELO ASPEN CINZA DA MARCA ROSAGRÊS, ALTURA 8CM</t>
  </si>
  <si>
    <t>6.6</t>
  </si>
  <si>
    <t>6.7</t>
  </si>
  <si>
    <t>ARGAMASSA COLANTE (TIPO : AC-III|UTILIZAÇÃO: AMBIENTES INTERNOS E EXTERNOS)</t>
  </si>
  <si>
    <t>MATED-12352</t>
  </si>
  <si>
    <t>APLICAÇÃO DE REJUNTE CIMENTÍCIO COLORIDO INDUSTRIALIZADO PARA
REVESTIMENTOS DE PAREDE/PISO COM JUNTAS DE ATÉ 3MM DE ESPESSURA</t>
  </si>
  <si>
    <t>ED-50718</t>
  </si>
  <si>
    <t>PERFIL "C" DOBRADO DE CHAPA (MATERIAL: AÇO | DIMENSÕES: 46X18MM| ESPESSURA: 0,5MM|MASSA LINEAR: 0,37KG/M) - FORNECIMENTO, EXCLUSIVE
SERVIÇO DE MONTAGEM/ INSTALAÇÃO</t>
  </si>
  <si>
    <t>ED-50381</t>
  </si>
  <si>
    <t>FORROS, COBERTURAS E FECHAMENTOS EM DRY-WALL</t>
  </si>
  <si>
    <t>P03: REINSTALAÇÃO DE PORTA EXISTENTE</t>
  </si>
  <si>
    <t>REMOÇÃO DE FORROS DE DRYWALL, PVC E FIBROMINERAL, DE FORMA MANUAL, SEM REAPROVEITAMENTO. AF_12/2017</t>
  </si>
  <si>
    <t>3.14</t>
  </si>
  <si>
    <t>ETIQUETAS DE IDENTIFICAÇÃO AUTO-ADESIVAS</t>
  </si>
  <si>
    <t>ACRILTECH</t>
  </si>
  <si>
    <t>ELO 7</t>
  </si>
  <si>
    <t>ANDRA</t>
  </si>
  <si>
    <t>TAMPA CEGA COM FURO CENTRAL 2x4''</t>
  </si>
  <si>
    <t>PORTAL ELÉTRICA</t>
  </si>
  <si>
    <t>BAHIA TECH</t>
  </si>
  <si>
    <t>SUPORTE PARAFUSADO COM PLACA DE ENCAIXE 4" X 2" MÉDIO (1,30 M DO PISO) PARA PONTO ELÉTRICO - FORNECIMENTO E INSTALAÇÃO.</t>
  </si>
  <si>
    <t>91946</t>
  </si>
  <si>
    <t>ABRAÇADEIRA DE VELCRO</t>
  </si>
  <si>
    <t>SINAPI MG 07/2023 / SETOP CENTRAL 04/2023 / ORSE SE 07/2023</t>
  </si>
  <si>
    <t>FORNECIMENTO E INSTALAÇÃO DE PATCH CORDS CAT.6 C/ 2,50M - REV02</t>
  </si>
  <si>
    <t>8 ELETRODUTO DE AÇO GALVANIZADO LEVE, INCLUSIVE CONEXÕES, SUPORTES E FIXAÇÃO DN 25 (1")</t>
  </si>
  <si>
    <t>ELETRODUTO DE PVC RÍGIDO ROSCÁVEL, DN 25 MM (1"), INCLUSIVE CONEXÕES, SUPORTES E FIXAÇÃO</t>
  </si>
  <si>
    <t>ED-49309</t>
  </si>
  <si>
    <t>ED-15762</t>
  </si>
  <si>
    <t>CONJUNTO DE DUAS (2) TOMADAS DE DADOS (CONECTOR RJ45 CAT.6E), COM PLACA 4"X2" DE DOIS (2) POSTOS, INCLUSIVE FORNECIMENTO, INSTALAÇÃO, SUPORTE, MÓDULO E PLACA</t>
  </si>
  <si>
    <t>CONJUNTO DE UMA (1) TOMADA DE DADOS (CONECTOR RJ45 CAT 6E), COM PLACA 4"X2" DE UM (1) POSTO, INCLUSIVEFORNECIMENTO, INSTALAÇÃO, SUPORTE, MÓDULO E PLACA</t>
  </si>
  <si>
    <t>ED-15752</t>
  </si>
  <si>
    <t>KALUNGA</t>
  </si>
  <si>
    <t>ETIQUETAS DE IDENTIFICAÇÃO AUTO-ADESIVAS (PACOTE COM 280 UN.)</t>
  </si>
  <si>
    <t>CABO ELETRÔNICO CATEGORIA 6A, INSTALADO EM EDIFICAÇÃO INSTITUCIONAL - FORNECIMENTO E INSTALAÇÃO.</t>
  </si>
  <si>
    <t>SOLUÇÃO CABOS</t>
  </si>
  <si>
    <t>CENTRAL DOS CABOS</t>
  </si>
  <si>
    <t>ELETRONOR</t>
  </si>
  <si>
    <t>CONECTOR MACHO RJ45 CAT 6A</t>
  </si>
  <si>
    <t xml:space="preserve">CONECTOR MACHO RJ45 CAT 6A - FORNECIMENTO E INSTALAÇÃO </t>
  </si>
  <si>
    <t>REINSTALAÇÃO DE LUMINÁRIAS</t>
  </si>
  <si>
    <t xml:space="preserve">un </t>
  </si>
  <si>
    <t xml:space="preserve"> LUMINÁRIA DE EMERGÊNCIA AUTÔNOMA, TIPO LED POTÊNCIA TOTAL DE 2W, FORNECIMENTO E INSTALAÇÃO</t>
  </si>
  <si>
    <t>ED-26989</t>
  </si>
  <si>
    <t>98307</t>
  </si>
  <si>
    <t xml:space="preserve">TOMADA DE REDE RJ45 - FORNECIMENTO E INSTALAÇÃO. AF_11/2019 </t>
  </si>
  <si>
    <t>TOMADA MÉDIA DE EMBUTIR (1 MÓDULO), 2P+T 20 A, SEM SUPORTE E SEM PLACA - FORNECIMENTO E INSTALAÇÃO. AF_03/2023</t>
  </si>
  <si>
    <t>CAIXA DE TOMADA DE EMBUTIR VAZIA (8 POSTOS)</t>
  </si>
  <si>
    <t>CAIXA TOMADA</t>
  </si>
  <si>
    <r>
      <rPr>
        <sz val="11"/>
        <rFont val="Calibri"/>
        <family val="2"/>
        <scheme val="minor"/>
      </rPr>
      <t xml:space="preserve">UTILIZADO COMO REFERÊNCIA A COMPOSIÇÃO ED-8024 DA SETOP </t>
    </r>
    <r>
      <rPr>
        <i/>
        <sz val="11"/>
        <rFont val="Calibri"/>
        <family val="2"/>
        <scheme val="minor"/>
      </rPr>
      <t>"DEMOLIÇÃO MANUAL DE DIVISÓRIA DE MADEIRA, INCLUSIVE AFASTAMENTO E EMPILHAMENTO, EXCLUSIVE TRANSPORTE E RETIRADA DO MATERIAL DEMOLIDO"</t>
    </r>
  </si>
  <si>
    <t>NOVEMBRO_2023</t>
  </si>
  <si>
    <t>7.2.6</t>
  </si>
  <si>
    <t>7.2.7</t>
  </si>
  <si>
    <t>8.2.2</t>
  </si>
  <si>
    <t>8.3.3</t>
  </si>
  <si>
    <t>9.2.7</t>
  </si>
  <si>
    <t>9.2.8</t>
  </si>
  <si>
    <t>9.2.9</t>
  </si>
  <si>
    <t>9.2.10</t>
  </si>
  <si>
    <t>9.3.2</t>
  </si>
  <si>
    <t>9.3.3</t>
  </si>
  <si>
    <t>9.5.5</t>
  </si>
  <si>
    <t>9.5.6</t>
  </si>
  <si>
    <t>9.5.7</t>
  </si>
  <si>
    <t>9.5.8</t>
  </si>
  <si>
    <t>9.6</t>
  </si>
  <si>
    <t>10.3</t>
  </si>
  <si>
    <t>11.3</t>
  </si>
  <si>
    <t>11.9</t>
  </si>
  <si>
    <t>11.10</t>
  </si>
  <si>
    <t>11.12</t>
  </si>
  <si>
    <t>11.13</t>
  </si>
  <si>
    <t>4.3</t>
  </si>
  <si>
    <t xml:space="preserve">RECOMPOSIÇÃO DE PAREDE (FURO DE PASSAGEM DO EXAUSTOR) </t>
  </si>
  <si>
    <t>COBERTURA</t>
  </si>
  <si>
    <t>REMOÇÃO MANUAL DE TELHA EM FIBROCIMENTO, TIPO ONDULADA, COM REAPROVEITAMENTO, INCLUSIVE AFASTAMENTO E EMPILHAMENTO, EXCLUSIVE TRANSPORTE E RETIRADA DO MATERIAL REMOVIDO NÃO REAPROVEITÁVEL</t>
  </si>
  <si>
    <t>ED-48512</t>
  </si>
  <si>
    <t xml:space="preserve">COBERTURA EM TELHA DE FIBROCIMENTO ONDULADA E = 5 MM </t>
  </si>
  <si>
    <t>ED-48423</t>
  </si>
  <si>
    <t>17.1</t>
  </si>
  <si>
    <t>17.2</t>
  </si>
  <si>
    <t>17.3</t>
  </si>
  <si>
    <t>17.4</t>
  </si>
  <si>
    <t xml:space="preserve">Como não possui laudo técnico de inspenção do telhado existente, foi considerado, a título de orçamento, a troca de 50% do telhado. </t>
  </si>
  <si>
    <t>CALÇOS DE BORRACHA NEOPRENE</t>
  </si>
  <si>
    <t>GTEPIS</t>
  </si>
  <si>
    <t>CORREMOL</t>
  </si>
  <si>
    <t>MACK FLEX</t>
  </si>
  <si>
    <t>REORGANIZAÇÃO DO RACK DO PAVIMENTO TÉRREO</t>
  </si>
  <si>
    <t xml:space="preserve">ENGENHEIRO ELETRICISTA COM ENCARGOS COMPLEMENTARES </t>
  </si>
  <si>
    <t xml:space="preserve">91677 </t>
  </si>
  <si>
    <t xml:space="preserve">ELETRICISTA COM ENCARGOS COMPLEMENTARES </t>
  </si>
  <si>
    <t>17</t>
  </si>
  <si>
    <t>Térreo: 2,5 meses</t>
  </si>
  <si>
    <t>5,5 dias / 22 dias trabalhados = 25% 
25 % x 2,5 meses = 0,625 meses</t>
  </si>
  <si>
    <t>REMOÇÃO DE CONJUNTO DO TIPO SPLIT PISO TETO DE 18.000 Btu/h DA SALA DE PROTOCOLO</t>
  </si>
  <si>
    <t>REMOÇÃO DE CONJUNTO DO TIPO SPLIT PISO TETO DO 4º PAVIMENTO E REINSTALAÇÃO DO EQUIPAMENTO NA SALA PROTOCOLO - TÉRREO (INCLUSO TUBULAÇÃO DE COBRE E DRENO)</t>
  </si>
  <si>
    <t>TUBO EM COBRE FLEXÍVEL, DN 1/2", COM ISOLAMENTO, INSTALADO EM RAMAL DE ALIMENTAÇÃO DE AR CONDICIONADO COM CONDENSADORA CENTRAL FORNECIMENTO E INSTALAÇÃO.  AF_12/2015</t>
  </si>
  <si>
    <t>(COMPOSIÇÃO REPRESENTATIVA) DO SERVIÇO DE INSTALAÇÃO DE TUBOS DE PVC, SOLDÁVEL, ÁGUA FRIA, DN 20 MM (INSTALADO EM RAMAL, SUB-RAMAL OU RAMAL DE DISTRIBUIÇÃO), INCLUSIVE CONEXÕES, CORTES E FIXAÇÕES, PARA PRÉDIOS. AF_10/2015</t>
  </si>
  <si>
    <t xml:space="preserve"> 1 SPLIT HI-WALL COM CONDENSADORA (9.000 BTUS) + 1 EVAPORADORA DE 9.000 BTU'S (INCLUSO DRENO)</t>
  </si>
  <si>
    <t>REPOSICIONAR CONJUNTO DO TIPO SPLIT HI-WALL DE 22.000 Btu/h.  (INCLUSO COMPLEMENTO DE TUBULAÇÃO E DRENO)</t>
  </si>
  <si>
    <t>11.14</t>
  </si>
  <si>
    <t>11.15</t>
  </si>
  <si>
    <t>Térreo | Arquivo (apenas trecho da parede onde será demolida a alvenaria)</t>
  </si>
  <si>
    <t>P01: PORTA PARA DIVISÓRIA COM VIDRO DUPLO 6MM TEMPERADO, COM PERSIANAS ENTRE VIDROS COR PRETO. ESTRUTURA EM ALUMÍNIO COM ACABAMENTO ANODIZADO NA COR PRETO. FECHADURA PARA PORTA 517 TUBULAR INOX INTERNO ST2 55 ROS 357 INOX PRETO FOSCO. FAB. LA FONTE OU EQUIVALENTE</t>
  </si>
  <si>
    <t>TJMMG-CP-05</t>
  </si>
  <si>
    <t>TJMMG-CP-07</t>
  </si>
  <si>
    <t>TJMMG-CP-08</t>
  </si>
  <si>
    <t xml:space="preserve"> TJMMG-CP-15</t>
  </si>
  <si>
    <t xml:space="preserve"> TJMMG-CP-16</t>
  </si>
  <si>
    <t xml:space="preserve"> TJMMG-CP-17</t>
  </si>
  <si>
    <t xml:space="preserve"> TJMMG-CP-18</t>
  </si>
  <si>
    <t>TJMMG-CP-19</t>
  </si>
  <si>
    <t xml:space="preserve"> TJMMG-CP-20</t>
  </si>
  <si>
    <t xml:space="preserve"> TJMMG-CP-21</t>
  </si>
  <si>
    <t>TJMMG-CP-26</t>
  </si>
  <si>
    <t>TJMMG-CP-28</t>
  </si>
  <si>
    <t>TJMMG-CP-29</t>
  </si>
  <si>
    <t>DV02: DIVISÓRIA PISO TETO COM 90MM DE ESPESSURA, E VIDRO DUPLO 8MM TEMPERADO, COM PERSIANAS ENTRE VIDROS COR PRETO. ESTRUTURA EM QUADROS PARA VIDRO DUPLO EM 100% ALUMÍNIO COM ACABAMENTO ANODIZADO NA COR PRETO.</t>
  </si>
  <si>
    <t>REV_02</t>
  </si>
  <si>
    <t xml:space="preserve"> FORRO MINERAL REMOVÍVEL MODULAR (1250x625x15MM) THERMATEX ANTARIS. ESTRUTURA APARENTE SK. COR BRANCO. REF. KANUF</t>
  </si>
  <si>
    <t>FORRO MINERAL REMOVÍVEL MODULAR (625x625x15MM) THERMATEX ANTARIS. ESTRUTURA APARENTE SK. COR BRANCO. REF. KNAUF</t>
  </si>
  <si>
    <t>PAU D'ÁGUA (Dracaena fragrans) EM VASO DE POLIETILENO REDONDO BRANCO 40x40CM</t>
  </si>
  <si>
    <t xml:space="preserve">COMPOSIÇÃO DE PREÇO UNITÁRIOS PRÓPRIO </t>
  </si>
  <si>
    <t>REV_03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</si>
</sst>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8" formatCode="&quot;R$&quot;\ #,##0.00;[Red]\-&quot;R$&quot;\ #,##0.00"/>
    <numFmt numFmtId="44" formatCode="_-&quot;R$&quot;\ * #,##0.00_-;\-&quot;R$&quot;\ * #,##0.00_-;_-&quot;R$&quot;\ * &quot;-&quot;??_-;_-@_-"/>
    <numFmt numFmtId="43" formatCode="_-* #,##0.00_-;\-* #,##0.00_-;_-* &quot;-&quot;??_-;_-@_-"/>
    <numFmt numFmtId="164" formatCode="&quot;R$&quot;\ #,##0.00"/>
    <numFmt numFmtId="165" formatCode="&quot;R$&quot;#,##0.00;[Red]\-&quot;R$&quot;#,##0.00"/>
    <numFmt numFmtId="166" formatCode="#,##0.000"/>
    <numFmt numFmtId="167" formatCode="&quot;BDI:&quot;\ 0.00%"/>
    <numFmt numFmtId="168" formatCode="&quot;FONTE&quot;\ 00&quot;:&quot;"/>
    <numFmt numFmtId="169" formatCode="0.00\ &quot;Km&quot;"/>
    <numFmt numFmtId="170" formatCode="&quot;COTAÇÃO&quot;\ 00"/>
    <numFmt numFmtId="171" formatCode="0.0000"/>
    <numFmt numFmtId="172" formatCode="0\ &quot;MESES&quot;\ "/>
    <numFmt numFmtId="173" formatCode="0\ &quot;Meses&quot;"/>
    <numFmt numFmtId="174" formatCode="0.000%"/>
    <numFmt numFmtId="175" formatCode="0.0000000"/>
    <numFmt numFmtId="176" formatCode="0.000"/>
  </numFmts>
  <fonts count="40" x14ac:knownFonts="1">
    <font>
      <sz val="11"/>
      <color theme="1"/>
      <name val="Calibri"/>
      <family val="2"/>
      <scheme val="minor"/>
    </font>
    <font>
      <sz val="11"/>
      <color theme="1"/>
      <name val="Calibri"/>
      <family val="2"/>
      <scheme val="minor"/>
    </font>
    <font>
      <sz val="11"/>
      <name val="Arial"/>
      <family val="2"/>
    </font>
    <font>
      <b/>
      <sz val="11"/>
      <name val="Arial"/>
      <family val="2"/>
    </font>
    <font>
      <b/>
      <sz val="11"/>
      <color theme="1"/>
      <name val="Calibri"/>
      <family val="2"/>
      <scheme val="minor"/>
    </font>
    <font>
      <sz val="11"/>
      <name val="Calibri"/>
      <family val="2"/>
      <scheme val="minor"/>
    </font>
    <font>
      <b/>
      <sz val="9"/>
      <name val="Arial"/>
      <family val="2"/>
    </font>
    <font>
      <sz val="8"/>
      <name val="Arial"/>
      <family val="2"/>
    </font>
    <font>
      <b/>
      <sz val="8"/>
      <name val="Arial"/>
      <family val="2"/>
    </font>
    <font>
      <sz val="9"/>
      <name val="Arial"/>
      <family val="2"/>
    </font>
    <font>
      <sz val="10"/>
      <name val="Arial"/>
      <family val="2"/>
    </font>
    <font>
      <b/>
      <sz val="16"/>
      <name val="Arial"/>
      <family val="2"/>
    </font>
    <font>
      <b/>
      <sz val="10"/>
      <name val="Arial"/>
      <family val="2"/>
    </font>
    <font>
      <b/>
      <sz val="9"/>
      <name val="Calibri"/>
      <family val="2"/>
    </font>
    <font>
      <sz val="9"/>
      <name val="Calibri"/>
      <family val="2"/>
    </font>
    <font>
      <b/>
      <sz val="10"/>
      <color rgb="FF000000"/>
      <name val="Arial"/>
      <family val="2"/>
    </font>
    <font>
      <sz val="9"/>
      <color theme="1"/>
      <name val="Calibri"/>
      <family val="2"/>
      <scheme val="minor"/>
    </font>
    <font>
      <b/>
      <sz val="10"/>
      <color theme="1"/>
      <name val="Arial"/>
      <family val="2"/>
    </font>
    <font>
      <sz val="8"/>
      <name val="Calibri"/>
      <family val="2"/>
    </font>
    <font>
      <sz val="8"/>
      <name val="Calibri"/>
      <family val="2"/>
      <scheme val="minor"/>
    </font>
    <font>
      <b/>
      <sz val="16"/>
      <color rgb="FF000000"/>
      <name val="Arial"/>
      <family val="2"/>
    </font>
    <font>
      <sz val="10"/>
      <color rgb="FF000000"/>
      <name val="Arial"/>
      <family val="2"/>
    </font>
    <font>
      <b/>
      <sz val="12"/>
      <color theme="1"/>
      <name val="Calibri"/>
      <family val="2"/>
      <scheme val="minor"/>
    </font>
    <font>
      <sz val="10"/>
      <color theme="1"/>
      <name val="Calibri"/>
      <family val="2"/>
      <scheme val="minor"/>
    </font>
    <font>
      <sz val="28"/>
      <color theme="1"/>
      <name val="Calibri"/>
      <family val="2"/>
      <scheme val="minor"/>
    </font>
    <font>
      <b/>
      <sz val="11"/>
      <color theme="0"/>
      <name val="Arial"/>
      <family val="2"/>
    </font>
    <font>
      <b/>
      <sz val="11"/>
      <color theme="1"/>
      <name val="Arial"/>
      <family val="2"/>
    </font>
    <font>
      <sz val="8"/>
      <color theme="1"/>
      <name val="Arial"/>
      <family val="2"/>
    </font>
    <font>
      <b/>
      <sz val="14"/>
      <color theme="1"/>
      <name val="Arial"/>
      <family val="2"/>
    </font>
    <font>
      <b/>
      <sz val="8"/>
      <color theme="1"/>
      <name val="Arial"/>
      <family val="2"/>
    </font>
    <font>
      <sz val="11"/>
      <color rgb="FF92D050"/>
      <name val="Calibri"/>
      <family val="2"/>
      <scheme val="minor"/>
    </font>
    <font>
      <sz val="11"/>
      <color rgb="FF000000"/>
      <name val="Arial"/>
      <family val="2"/>
    </font>
    <font>
      <b/>
      <sz val="11"/>
      <color rgb="FF000000"/>
      <name val="Arial"/>
      <family val="2"/>
    </font>
    <font>
      <i/>
      <sz val="11"/>
      <name val="Calibri"/>
      <family val="2"/>
      <scheme val="minor"/>
    </font>
    <font>
      <b/>
      <sz val="12"/>
      <name val="Calibri"/>
      <family val="2"/>
      <scheme val="minor"/>
    </font>
    <font>
      <b/>
      <i/>
      <sz val="11"/>
      <name val="Calibri"/>
      <family val="2"/>
      <scheme val="minor"/>
    </font>
    <font>
      <b/>
      <sz val="11"/>
      <name val="Calibri"/>
      <family val="2"/>
      <scheme val="minor"/>
    </font>
    <font>
      <sz val="9"/>
      <name val="Calibri"/>
      <family val="2"/>
      <scheme val="minor"/>
    </font>
    <font>
      <sz val="11"/>
      <color theme="9"/>
      <name val="Calibri"/>
      <family val="2"/>
      <scheme val="minor"/>
    </font>
    <font>
      <b/>
      <sz val="12"/>
      <name val="Arial"/>
      <family val="2"/>
    </font>
  </fonts>
  <fills count="13">
    <fill>
      <patternFill patternType="none"/>
    </fill>
    <fill>
      <patternFill patternType="gray125"/>
    </fill>
    <fill>
      <patternFill patternType="solid">
        <fgColor theme="2" tint="-9.9978637043366805E-2"/>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0"/>
        <bgColor indexed="64"/>
      </patternFill>
    </fill>
    <fill>
      <patternFill patternType="solid">
        <fgColor theme="0" tint="-0.249977111117893"/>
        <bgColor indexed="64"/>
      </patternFill>
    </fill>
    <fill>
      <patternFill patternType="gray0625">
        <fgColor indexed="9"/>
        <bgColor theme="0"/>
      </patternFill>
    </fill>
    <fill>
      <patternFill patternType="gray0625">
        <fgColor indexed="9"/>
        <bgColor theme="9" tint="0.79998168889431442"/>
      </patternFill>
    </fill>
    <fill>
      <patternFill patternType="solid">
        <fgColor theme="2" tint="-0.89999084444715716"/>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theme="4" tint="0.59999389629810485"/>
        <bgColor indexed="64"/>
      </patternFill>
    </fill>
  </fills>
  <borders count="6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hair">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hair">
        <color indexed="64"/>
      </bottom>
      <diagonal/>
    </border>
    <border>
      <left style="medium">
        <color indexed="64"/>
      </left>
      <right style="medium">
        <color indexed="64"/>
      </right>
      <top style="medium">
        <color indexed="64"/>
      </top>
      <bottom style="hair">
        <color indexed="64"/>
      </bottom>
      <diagonal/>
    </border>
    <border>
      <left style="hair">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hair">
        <color indexed="64"/>
      </top>
      <bottom style="medium">
        <color indexed="64"/>
      </bottom>
      <diagonal/>
    </border>
    <border>
      <left style="medium">
        <color indexed="64"/>
      </left>
      <right style="medium">
        <color indexed="64"/>
      </right>
      <top style="hair">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thin">
        <color indexed="64"/>
      </left>
      <right/>
      <top style="hair">
        <color indexed="64"/>
      </top>
      <bottom style="medium">
        <color indexed="64"/>
      </bottom>
      <diagonal/>
    </border>
    <border>
      <left/>
      <right/>
      <top style="medium">
        <color indexed="64"/>
      </top>
      <bottom style="thin">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diagonalDown="1">
      <left/>
      <right style="medium">
        <color indexed="64"/>
      </right>
      <top style="medium">
        <color indexed="64"/>
      </top>
      <bottom style="medium">
        <color indexed="64"/>
      </bottom>
      <diagonal style="thin">
        <color indexed="64"/>
      </diagonal>
    </border>
    <border>
      <left style="thin">
        <color indexed="64"/>
      </left>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0" fontId="2" fillId="0" borderId="0"/>
  </cellStyleXfs>
  <cellXfs count="558">
    <xf numFmtId="0" fontId="0" fillId="0" borderId="0" xfId="0"/>
    <xf numFmtId="0" fontId="2" fillId="0" borderId="0" xfId="0" applyFont="1" applyAlignment="1">
      <alignment vertical="center"/>
    </xf>
    <xf numFmtId="0" fontId="2" fillId="0" borderId="0" xfId="0" applyFont="1" applyAlignment="1">
      <alignment horizontal="center" vertical="center"/>
    </xf>
    <xf numFmtId="0" fontId="3" fillId="2" borderId="2"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6" fillId="5" borderId="16" xfId="0" applyFont="1" applyFill="1" applyBorder="1" applyAlignment="1">
      <alignment horizontal="center" vertical="center"/>
    </xf>
    <xf numFmtId="0" fontId="9" fillId="5" borderId="29" xfId="0" applyFont="1" applyFill="1" applyBorder="1" applyAlignment="1">
      <alignment horizontal="center" vertical="center"/>
    </xf>
    <xf numFmtId="10" fontId="9" fillId="5" borderId="30" xfId="4" applyNumberFormat="1" applyFont="1" applyFill="1" applyBorder="1" applyAlignment="1" applyProtection="1">
      <alignment horizontal="center" vertical="center"/>
      <protection locked="0"/>
    </xf>
    <xf numFmtId="10" fontId="9" fillId="0" borderId="31" xfId="4" applyNumberFormat="1" applyFont="1" applyBorder="1" applyAlignment="1" applyProtection="1">
      <alignment horizontal="center" vertical="center"/>
    </xf>
    <xf numFmtId="4" fontId="9" fillId="5" borderId="33" xfId="0" applyNumberFormat="1" applyFont="1" applyFill="1" applyBorder="1" applyAlignment="1">
      <alignment horizontal="center" vertical="center"/>
    </xf>
    <xf numFmtId="4" fontId="9" fillId="5" borderId="34" xfId="0" applyNumberFormat="1" applyFont="1" applyFill="1" applyBorder="1" applyAlignment="1">
      <alignment horizontal="center" vertical="center"/>
    </xf>
    <xf numFmtId="4" fontId="9" fillId="5" borderId="35" xfId="0" applyNumberFormat="1" applyFont="1" applyFill="1" applyBorder="1" applyAlignment="1">
      <alignment horizontal="center" vertical="center"/>
    </xf>
    <xf numFmtId="165" fontId="9" fillId="5" borderId="37" xfId="0" applyNumberFormat="1" applyFont="1" applyFill="1" applyBorder="1" applyAlignment="1">
      <alignment horizontal="center" vertical="center"/>
    </xf>
    <xf numFmtId="165" fontId="9" fillId="5" borderId="38" xfId="0" applyNumberFormat="1" applyFont="1" applyFill="1" applyBorder="1" applyAlignment="1">
      <alignment horizontal="center" vertical="center"/>
    </xf>
    <xf numFmtId="165" fontId="9" fillId="5" borderId="39" xfId="0" applyNumberFormat="1" applyFont="1" applyFill="1" applyBorder="1" applyAlignment="1">
      <alignment horizontal="center" vertical="center"/>
    </xf>
    <xf numFmtId="0" fontId="9" fillId="5" borderId="40" xfId="0" applyFont="1" applyFill="1" applyBorder="1" applyAlignment="1">
      <alignment horizontal="center" vertical="center"/>
    </xf>
    <xf numFmtId="165" fontId="9" fillId="5" borderId="11" xfId="0" applyNumberFormat="1" applyFont="1" applyFill="1" applyBorder="1" applyAlignment="1">
      <alignment horizontal="center" vertical="center"/>
    </xf>
    <xf numFmtId="0" fontId="9" fillId="5" borderId="41" xfId="0" applyFont="1" applyFill="1" applyBorder="1" applyAlignment="1">
      <alignment horizontal="center" vertical="center"/>
    </xf>
    <xf numFmtId="165" fontId="9" fillId="5" borderId="42" xfId="0" applyNumberFormat="1" applyFont="1" applyFill="1" applyBorder="1" applyAlignment="1">
      <alignment horizontal="center" vertical="center"/>
    </xf>
    <xf numFmtId="0" fontId="6" fillId="5" borderId="45" xfId="0" applyFont="1" applyFill="1" applyBorder="1" applyAlignment="1">
      <alignment horizontal="left" vertical="center"/>
    </xf>
    <xf numFmtId="0" fontId="6" fillId="5" borderId="43" xfId="0" applyFont="1" applyFill="1" applyBorder="1" applyAlignment="1">
      <alignment vertical="center"/>
    </xf>
    <xf numFmtId="165" fontId="6" fillId="5" borderId="10" xfId="0" applyNumberFormat="1" applyFont="1" applyFill="1" applyBorder="1" applyAlignment="1">
      <alignment horizontal="center" vertical="center"/>
    </xf>
    <xf numFmtId="10" fontId="6" fillId="5" borderId="46" xfId="0" applyNumberFormat="1" applyFont="1" applyFill="1" applyBorder="1" applyAlignment="1">
      <alignment horizontal="center" vertical="center"/>
    </xf>
    <xf numFmtId="0" fontId="0" fillId="6" borderId="0" xfId="0" applyFill="1"/>
    <xf numFmtId="0" fontId="0" fillId="6" borderId="0" xfId="0" applyFill="1" applyAlignment="1">
      <alignment horizontal="center" vertical="center"/>
    </xf>
    <xf numFmtId="0" fontId="13" fillId="5" borderId="11" xfId="0" applyFont="1" applyFill="1" applyBorder="1"/>
    <xf numFmtId="0" fontId="14" fillId="5" borderId="11" xfId="0" applyFont="1" applyFill="1" applyBorder="1" applyAlignment="1">
      <alignment horizontal="center"/>
    </xf>
    <xf numFmtId="0" fontId="10" fillId="5" borderId="14" xfId="0" applyFont="1" applyFill="1" applyBorder="1" applyAlignment="1">
      <alignment wrapText="1"/>
    </xf>
    <xf numFmtId="0" fontId="14" fillId="5" borderId="14" xfId="0" applyFont="1" applyFill="1" applyBorder="1" applyAlignment="1">
      <alignment wrapText="1"/>
    </xf>
    <xf numFmtId="0" fontId="14" fillId="5" borderId="14" xfId="0" applyFont="1" applyFill="1" applyBorder="1" applyAlignment="1">
      <alignment horizontal="center"/>
    </xf>
    <xf numFmtId="0" fontId="0" fillId="0" borderId="0" xfId="0" applyAlignment="1">
      <alignment horizontal="center"/>
    </xf>
    <xf numFmtId="4" fontId="15" fillId="5" borderId="19" xfId="0" applyNumberFormat="1" applyFont="1" applyFill="1" applyBorder="1" applyAlignment="1">
      <alignment vertical="center"/>
    </xf>
    <xf numFmtId="4" fontId="15" fillId="5" borderId="20" xfId="0" applyNumberFormat="1" applyFont="1" applyFill="1" applyBorder="1" applyAlignment="1">
      <alignment vertical="center"/>
    </xf>
    <xf numFmtId="0" fontId="0" fillId="0" borderId="0" xfId="0" applyAlignment="1">
      <alignment horizontal="center" vertical="center"/>
    </xf>
    <xf numFmtId="10" fontId="0" fillId="6" borderId="0" xfId="0" applyNumberFormat="1" applyFill="1"/>
    <xf numFmtId="10" fontId="0" fillId="6" borderId="0" xfId="3" applyNumberFormat="1" applyFont="1" applyFill="1" applyProtection="1"/>
    <xf numFmtId="0" fontId="0" fillId="6" borderId="0" xfId="0" applyFill="1" applyAlignment="1">
      <alignment wrapText="1"/>
    </xf>
    <xf numFmtId="0" fontId="0" fillId="5" borderId="18" xfId="0" applyFill="1" applyBorder="1"/>
    <xf numFmtId="0" fontId="0" fillId="5" borderId="11" xfId="0" applyFill="1" applyBorder="1"/>
    <xf numFmtId="0" fontId="0" fillId="5" borderId="11" xfId="0" applyFill="1" applyBorder="1" applyAlignment="1">
      <alignment horizontal="center" vertical="center"/>
    </xf>
    <xf numFmtId="0" fontId="0" fillId="5" borderId="12" xfId="0" applyFill="1" applyBorder="1"/>
    <xf numFmtId="0" fontId="0" fillId="5" borderId="19" xfId="0" applyFill="1" applyBorder="1"/>
    <xf numFmtId="0" fontId="16" fillId="5" borderId="0" xfId="0" applyFont="1" applyFill="1"/>
    <xf numFmtId="10" fontId="0" fillId="5" borderId="0" xfId="3" applyNumberFormat="1" applyFont="1" applyFill="1" applyProtection="1"/>
    <xf numFmtId="0" fontId="0" fillId="5" borderId="0" xfId="0" applyFill="1"/>
    <xf numFmtId="0" fontId="0" fillId="5" borderId="0" xfId="0" applyFill="1" applyAlignment="1">
      <alignment horizontal="center" vertical="center"/>
    </xf>
    <xf numFmtId="10" fontId="0" fillId="5" borderId="0" xfId="3" applyNumberFormat="1" applyFont="1" applyFill="1" applyAlignment="1" applyProtection="1">
      <alignment horizontal="center"/>
    </xf>
    <xf numFmtId="0" fontId="0" fillId="5" borderId="13" xfId="0" applyFill="1" applyBorder="1"/>
    <xf numFmtId="0" fontId="23" fillId="5" borderId="19" xfId="0" applyFont="1" applyFill="1" applyBorder="1"/>
    <xf numFmtId="0" fontId="23" fillId="5" borderId="0" xfId="0" applyFont="1" applyFill="1"/>
    <xf numFmtId="10" fontId="23" fillId="5" borderId="0" xfId="3" applyNumberFormat="1" applyFont="1" applyFill="1" applyProtection="1"/>
    <xf numFmtId="0" fontId="23" fillId="5" borderId="0" xfId="0" applyFont="1" applyFill="1" applyAlignment="1">
      <alignment horizontal="center" vertical="center"/>
    </xf>
    <xf numFmtId="10" fontId="23" fillId="5" borderId="0" xfId="3" applyNumberFormat="1" applyFont="1" applyFill="1" applyAlignment="1" applyProtection="1">
      <alignment horizontal="center"/>
    </xf>
    <xf numFmtId="0" fontId="23" fillId="5" borderId="13" xfId="0" applyFont="1" applyFill="1" applyBorder="1"/>
    <xf numFmtId="0" fontId="4" fillId="5" borderId="0" xfId="0" applyFont="1" applyFill="1"/>
    <xf numFmtId="0" fontId="4" fillId="5" borderId="0" xfId="0" applyFont="1" applyFill="1" applyAlignment="1">
      <alignment horizontal="center" vertical="center"/>
    </xf>
    <xf numFmtId="171" fontId="4" fillId="5" borderId="0" xfId="0" applyNumberFormat="1" applyFont="1" applyFill="1" applyAlignment="1">
      <alignment horizontal="center" vertical="center"/>
    </xf>
    <xf numFmtId="0" fontId="0" fillId="5" borderId="19" xfId="0" applyFill="1" applyBorder="1" applyAlignment="1">
      <alignment vertical="top"/>
    </xf>
    <xf numFmtId="0" fontId="0" fillId="5" borderId="0" xfId="0" applyFill="1" applyAlignment="1">
      <alignment vertical="top"/>
    </xf>
    <xf numFmtId="0" fontId="4" fillId="5" borderId="0" xfId="0" applyFont="1" applyFill="1" applyAlignment="1">
      <alignment horizontal="center" vertical="top"/>
    </xf>
    <xf numFmtId="0" fontId="4" fillId="5" borderId="0" xfId="0" applyFont="1" applyFill="1" applyAlignment="1">
      <alignment vertical="top"/>
    </xf>
    <xf numFmtId="171" fontId="4" fillId="5" borderId="0" xfId="0" applyNumberFormat="1" applyFont="1" applyFill="1" applyAlignment="1">
      <alignment horizontal="center" vertical="top"/>
    </xf>
    <xf numFmtId="0" fontId="0" fillId="5" borderId="13" xfId="0" applyFill="1" applyBorder="1" applyAlignment="1">
      <alignment vertical="top"/>
    </xf>
    <xf numFmtId="0" fontId="0" fillId="0" borderId="0" xfId="0" applyAlignment="1">
      <alignment vertical="top"/>
    </xf>
    <xf numFmtId="0" fontId="0" fillId="6" borderId="0" xfId="0" applyFill="1" applyAlignment="1">
      <alignment vertical="top"/>
    </xf>
    <xf numFmtId="0" fontId="16" fillId="5" borderId="20" xfId="0" applyFont="1" applyFill="1" applyBorder="1"/>
    <xf numFmtId="0" fontId="0" fillId="5" borderId="14" xfId="0" applyFill="1" applyBorder="1"/>
    <xf numFmtId="0" fontId="0" fillId="5" borderId="14" xfId="0" applyFill="1" applyBorder="1" applyAlignment="1">
      <alignment horizontal="center" vertical="center"/>
    </xf>
    <xf numFmtId="0" fontId="0" fillId="5" borderId="15" xfId="0" applyFill="1" applyBorder="1"/>
    <xf numFmtId="0" fontId="25" fillId="9" borderId="2" xfId="0" applyFont="1" applyFill="1" applyBorder="1" applyAlignment="1">
      <alignment horizontal="center" vertical="center" wrapText="1"/>
    </xf>
    <xf numFmtId="0" fontId="25" fillId="9" borderId="6" xfId="0" applyFont="1" applyFill="1" applyBorder="1" applyAlignment="1">
      <alignment horizontal="center" vertical="center" wrapText="1"/>
    </xf>
    <xf numFmtId="0" fontId="27" fillId="6" borderId="0" xfId="0" applyFont="1" applyFill="1"/>
    <xf numFmtId="0" fontId="27" fillId="6" borderId="0" xfId="0" applyFont="1" applyFill="1" applyAlignment="1">
      <alignment vertical="center"/>
    </xf>
    <xf numFmtId="0" fontId="15" fillId="5" borderId="19" xfId="0" applyFont="1" applyFill="1" applyBorder="1" applyAlignment="1">
      <alignment horizontal="left" vertical="center"/>
    </xf>
    <xf numFmtId="164" fontId="26" fillId="5" borderId="13" xfId="0" applyNumberFormat="1" applyFont="1" applyFill="1" applyBorder="1" applyAlignment="1">
      <alignment horizontal="center" vertical="center" wrapText="1"/>
    </xf>
    <xf numFmtId="0" fontId="27" fillId="6" borderId="0" xfId="0" applyFont="1" applyFill="1" applyAlignment="1">
      <alignment horizontal="left" vertical="center"/>
    </xf>
    <xf numFmtId="0" fontId="27" fillId="6" borderId="0" xfId="0" applyFont="1" applyFill="1" applyAlignment="1">
      <alignment vertical="center" wrapText="1"/>
    </xf>
    <xf numFmtId="0" fontId="27" fillId="6" borderId="0" xfId="0" applyFont="1" applyFill="1" applyAlignment="1">
      <alignment horizontal="left" vertical="center" wrapText="1"/>
    </xf>
    <xf numFmtId="0" fontId="5" fillId="0" borderId="1" xfId="0" applyFont="1" applyBorder="1" applyAlignment="1">
      <alignment horizontal="center" vertical="center" wrapText="1"/>
    </xf>
    <xf numFmtId="49" fontId="26" fillId="5" borderId="19" xfId="0" applyNumberFormat="1" applyFont="1" applyFill="1" applyBorder="1" applyAlignment="1">
      <alignment horizontal="center" vertical="center" wrapText="1"/>
    </xf>
    <xf numFmtId="4" fontId="28" fillId="5" borderId="0" xfId="0" applyNumberFormat="1" applyFont="1" applyFill="1" applyAlignment="1">
      <alignment horizontal="center" vertical="center" wrapText="1"/>
    </xf>
    <xf numFmtId="4" fontId="28" fillId="5" borderId="0" xfId="0" applyNumberFormat="1" applyFont="1" applyFill="1" applyAlignment="1">
      <alignment horizontal="left" vertical="center" wrapText="1"/>
    </xf>
    <xf numFmtId="4" fontId="26" fillId="5" borderId="0" xfId="0" applyNumberFormat="1" applyFont="1" applyFill="1" applyAlignment="1">
      <alignment horizontal="left" vertical="center" wrapText="1"/>
    </xf>
    <xf numFmtId="0" fontId="29" fillId="6" borderId="0" xfId="0" applyFont="1" applyFill="1" applyAlignment="1">
      <alignment vertical="center" wrapText="1"/>
    </xf>
    <xf numFmtId="0" fontId="26" fillId="5" borderId="19" xfId="0" applyFont="1" applyFill="1" applyBorder="1" applyAlignment="1">
      <alignment horizontal="center" vertical="center" wrapText="1"/>
    </xf>
    <xf numFmtId="0" fontId="26" fillId="5" borderId="0" xfId="0" applyFont="1" applyFill="1" applyAlignment="1">
      <alignment horizontal="left" vertical="center" wrapText="1"/>
    </xf>
    <xf numFmtId="4" fontId="3" fillId="5" borderId="0" xfId="0" applyNumberFormat="1" applyFont="1" applyFill="1" applyAlignment="1">
      <alignment horizontal="right" vertical="center" wrapText="1"/>
    </xf>
    <xf numFmtId="164" fontId="26" fillId="5" borderId="0" xfId="0" applyNumberFormat="1" applyFont="1" applyFill="1" applyAlignment="1">
      <alignment horizontal="center" vertical="center" wrapText="1"/>
    </xf>
    <xf numFmtId="10" fontId="26" fillId="5" borderId="13" xfId="0" applyNumberFormat="1" applyFont="1" applyFill="1" applyBorder="1" applyAlignment="1">
      <alignment horizontal="center" vertical="center" wrapText="1"/>
    </xf>
    <xf numFmtId="0" fontId="8" fillId="6" borderId="0" xfId="0" applyFont="1" applyFill="1" applyAlignment="1">
      <alignment vertical="center" wrapText="1"/>
    </xf>
    <xf numFmtId="0" fontId="27" fillId="5" borderId="0" xfId="0" applyFont="1" applyFill="1" applyAlignment="1">
      <alignment vertical="center" wrapText="1"/>
    </xf>
    <xf numFmtId="10" fontId="27" fillId="6" borderId="0" xfId="3" applyNumberFormat="1" applyFont="1" applyFill="1" applyAlignment="1" applyProtection="1">
      <alignment vertical="center"/>
    </xf>
    <xf numFmtId="0" fontId="27" fillId="5" borderId="0" xfId="0" applyFont="1" applyFill="1" applyAlignment="1">
      <alignment horizontal="left" vertical="center" wrapText="1"/>
    </xf>
    <xf numFmtId="4" fontId="26" fillId="3" borderId="23" xfId="0" applyNumberFormat="1" applyFont="1" applyFill="1" applyBorder="1" applyAlignment="1">
      <alignment horizontal="center" vertical="center" wrapText="1"/>
    </xf>
    <xf numFmtId="0" fontId="27" fillId="3" borderId="21" xfId="0" applyFont="1" applyFill="1" applyBorder="1" applyAlignment="1">
      <alignment vertical="center"/>
    </xf>
    <xf numFmtId="4" fontId="26" fillId="3" borderId="21" xfId="0" applyNumberFormat="1" applyFont="1" applyFill="1" applyBorder="1" applyAlignment="1">
      <alignment horizontal="left" vertical="center"/>
    </xf>
    <xf numFmtId="165" fontId="26" fillId="3" borderId="21" xfId="0" applyNumberFormat="1" applyFont="1" applyFill="1" applyBorder="1" applyAlignment="1">
      <alignment horizontal="center" vertical="center" wrapText="1"/>
    </xf>
    <xf numFmtId="10" fontId="26" fillId="3" borderId="24" xfId="3" applyNumberFormat="1" applyFont="1" applyFill="1" applyBorder="1" applyAlignment="1">
      <alignment horizontal="center" vertical="center" wrapText="1"/>
    </xf>
    <xf numFmtId="8" fontId="27" fillId="6" borderId="0" xfId="0" applyNumberFormat="1" applyFont="1" applyFill="1" applyAlignment="1">
      <alignment vertical="center"/>
    </xf>
    <xf numFmtId="0" fontId="0" fillId="0" borderId="14" xfId="0" applyBorder="1" applyAlignment="1">
      <alignment horizontal="center"/>
    </xf>
    <xf numFmtId="0" fontId="0" fillId="0" borderId="19" xfId="0" applyBorder="1" applyAlignment="1">
      <alignment horizontal="center" vertical="center"/>
    </xf>
    <xf numFmtId="0" fontId="0" fillId="0" borderId="19" xfId="0" applyBorder="1" applyAlignment="1">
      <alignment horizontal="center"/>
    </xf>
    <xf numFmtId="0" fontId="0" fillId="0" borderId="20" xfId="0" applyBorder="1" applyAlignment="1">
      <alignment horizontal="center"/>
    </xf>
    <xf numFmtId="0" fontId="4" fillId="0" borderId="19" xfId="0" applyFont="1" applyBorder="1" applyAlignment="1">
      <alignment horizontal="center" vertical="center"/>
    </xf>
    <xf numFmtId="0" fontId="4" fillId="0" borderId="0" xfId="0" applyFont="1" applyAlignment="1">
      <alignment horizontal="center"/>
    </xf>
    <xf numFmtId="0" fontId="4" fillId="0" borderId="19" xfId="0" applyFont="1" applyBorder="1" applyAlignment="1">
      <alignment horizontal="center"/>
    </xf>
    <xf numFmtId="2" fontId="4" fillId="0" borderId="13" xfId="0" applyNumberFormat="1" applyFont="1" applyBorder="1" applyAlignment="1">
      <alignment horizontal="center" vertical="center"/>
    </xf>
    <xf numFmtId="0" fontId="22" fillId="6" borderId="21" xfId="0" applyFont="1" applyFill="1" applyBorder="1" applyAlignment="1">
      <alignment horizontal="center"/>
    </xf>
    <xf numFmtId="0" fontId="30" fillId="0" borderId="19" xfId="0" applyFont="1" applyBorder="1" applyAlignment="1">
      <alignment horizontal="center"/>
    </xf>
    <xf numFmtId="0" fontId="30" fillId="0" borderId="0" xfId="0" applyFont="1" applyAlignment="1">
      <alignment horizontal="center"/>
    </xf>
    <xf numFmtId="2" fontId="22" fillId="6" borderId="24" xfId="0" applyNumberFormat="1" applyFont="1" applyFill="1" applyBorder="1" applyAlignment="1">
      <alignment horizontal="center"/>
    </xf>
    <xf numFmtId="2" fontId="4" fillId="0" borderId="13" xfId="0" applyNumberFormat="1" applyFont="1" applyBorder="1" applyAlignment="1">
      <alignment horizontal="center"/>
    </xf>
    <xf numFmtId="2" fontId="0" fillId="0" borderId="13" xfId="0" applyNumberFormat="1" applyBorder="1" applyAlignment="1">
      <alignment horizontal="center" vertical="center"/>
    </xf>
    <xf numFmtId="2" fontId="0" fillId="0" borderId="13" xfId="0" applyNumberFormat="1" applyBorder="1" applyAlignment="1">
      <alignment horizontal="center"/>
    </xf>
    <xf numFmtId="2" fontId="5" fillId="0" borderId="13" xfId="0" applyNumberFormat="1" applyFont="1" applyBorder="1" applyAlignment="1">
      <alignment horizontal="center"/>
    </xf>
    <xf numFmtId="2" fontId="0" fillId="0" borderId="15" xfId="0" applyNumberFormat="1" applyBorder="1" applyAlignment="1">
      <alignment horizontal="center"/>
    </xf>
    <xf numFmtId="2" fontId="0" fillId="0" borderId="0" xfId="0" applyNumberFormat="1" applyAlignment="1">
      <alignment horizontal="center"/>
    </xf>
    <xf numFmtId="0" fontId="4" fillId="0" borderId="0" xfId="0" applyFont="1" applyAlignment="1">
      <alignment horizontal="center" vertical="center"/>
    </xf>
    <xf numFmtId="0" fontId="5" fillId="0" borderId="0" xfId="0" applyFont="1" applyAlignment="1">
      <alignment horizontal="center"/>
    </xf>
    <xf numFmtId="0" fontId="4" fillId="4" borderId="23" xfId="0" applyFont="1" applyFill="1" applyBorder="1" applyAlignment="1">
      <alignment horizontal="center"/>
    </xf>
    <xf numFmtId="0" fontId="4" fillId="4" borderId="21" xfId="0" applyFont="1" applyFill="1" applyBorder="1" applyAlignment="1">
      <alignment horizontal="center"/>
    </xf>
    <xf numFmtId="2" fontId="4" fillId="4" borderId="24" xfId="0" applyNumberFormat="1" applyFont="1" applyFill="1" applyBorder="1" applyAlignment="1">
      <alignment horizontal="center"/>
    </xf>
    <xf numFmtId="0" fontId="4" fillId="6" borderId="23" xfId="0" applyFont="1" applyFill="1" applyBorder="1" applyAlignment="1">
      <alignment horizontal="center"/>
    </xf>
    <xf numFmtId="0" fontId="4" fillId="6" borderId="21" xfId="0" applyFont="1" applyFill="1" applyBorder="1" applyAlignment="1">
      <alignment horizontal="center"/>
    </xf>
    <xf numFmtId="2" fontId="4" fillId="6" borderId="24" xfId="0" applyNumberFormat="1" applyFont="1" applyFill="1" applyBorder="1" applyAlignment="1">
      <alignment horizontal="center"/>
    </xf>
    <xf numFmtId="165" fontId="9" fillId="5" borderId="26" xfId="0" applyNumberFormat="1" applyFont="1" applyFill="1" applyBorder="1" applyAlignment="1">
      <alignment horizontal="center" vertical="center"/>
    </xf>
    <xf numFmtId="165" fontId="9" fillId="5" borderId="51" xfId="0" applyNumberFormat="1" applyFont="1" applyFill="1" applyBorder="1" applyAlignment="1">
      <alignment horizontal="center" vertical="center"/>
    </xf>
    <xf numFmtId="0" fontId="18" fillId="5" borderId="14" xfId="0" applyFont="1" applyFill="1" applyBorder="1"/>
    <xf numFmtId="0" fontId="18" fillId="5" borderId="15" xfId="0" applyFont="1" applyFill="1" applyBorder="1"/>
    <xf numFmtId="4" fontId="21" fillId="5" borderId="0" xfId="0" applyNumberFormat="1" applyFont="1" applyFill="1" applyAlignment="1">
      <alignment vertical="center"/>
    </xf>
    <xf numFmtId="0" fontId="14" fillId="5" borderId="0" xfId="0" applyFont="1" applyFill="1" applyAlignment="1">
      <alignment horizontal="center"/>
    </xf>
    <xf numFmtId="49" fontId="14" fillId="5" borderId="0" xfId="0" applyNumberFormat="1" applyFont="1" applyFill="1"/>
    <xf numFmtId="0" fontId="21" fillId="5" borderId="0" xfId="0" applyFont="1" applyFill="1" applyAlignment="1" applyProtection="1">
      <alignment horizontal="left" vertical="center"/>
      <protection locked="0"/>
    </xf>
    <xf numFmtId="0" fontId="21" fillId="5" borderId="14" xfId="0" applyFont="1" applyFill="1" applyBorder="1" applyAlignment="1" applyProtection="1">
      <alignment horizontal="left" vertical="center"/>
      <protection locked="0"/>
    </xf>
    <xf numFmtId="165" fontId="9" fillId="5" borderId="12" xfId="0" applyNumberFormat="1" applyFont="1" applyFill="1" applyBorder="1" applyAlignment="1">
      <alignment horizontal="center" vertical="center"/>
    </xf>
    <xf numFmtId="4" fontId="21" fillId="5" borderId="11" xfId="0" applyNumberFormat="1" applyFont="1" applyFill="1" applyBorder="1" applyAlignment="1">
      <alignment vertical="center"/>
    </xf>
    <xf numFmtId="0" fontId="3" fillId="4" borderId="22" xfId="0" applyFont="1" applyFill="1" applyBorder="1" applyAlignment="1">
      <alignment horizontal="center" vertical="center" wrapText="1"/>
    </xf>
    <xf numFmtId="0" fontId="3" fillId="4" borderId="25" xfId="0" applyFont="1" applyFill="1" applyBorder="1" applyAlignment="1">
      <alignment horizontal="center" vertical="center" wrapText="1"/>
    </xf>
    <xf numFmtId="0" fontId="3" fillId="4" borderId="8" xfId="0" applyFont="1" applyFill="1" applyBorder="1" applyAlignment="1">
      <alignment horizontal="center" vertical="center" wrapText="1"/>
    </xf>
    <xf numFmtId="0" fontId="3" fillId="4" borderId="8" xfId="1" applyNumberFormat="1" applyFont="1" applyFill="1" applyBorder="1" applyAlignment="1">
      <alignment horizontal="center" vertical="center" wrapText="1"/>
    </xf>
    <xf numFmtId="0" fontId="3" fillId="4" borderId="9" xfId="1" applyNumberFormat="1" applyFont="1" applyFill="1" applyBorder="1" applyAlignment="1">
      <alignment horizontal="center" vertical="center" wrapText="1"/>
    </xf>
    <xf numFmtId="166" fontId="3" fillId="7" borderId="18" xfId="0" applyNumberFormat="1" applyFont="1" applyFill="1" applyBorder="1" applyAlignment="1">
      <alignment horizontal="left" vertical="center"/>
    </xf>
    <xf numFmtId="166" fontId="3" fillId="7" borderId="19" xfId="0" applyNumberFormat="1" applyFont="1" applyFill="1" applyBorder="1" applyAlignment="1">
      <alignment horizontal="left" vertical="center"/>
    </xf>
    <xf numFmtId="166" fontId="3" fillId="7" borderId="20" xfId="0" applyNumberFormat="1" applyFont="1" applyFill="1" applyBorder="1" applyAlignment="1">
      <alignment horizontal="left" vertical="center"/>
    </xf>
    <xf numFmtId="0" fontId="2" fillId="5" borderId="14" xfId="0" applyFont="1" applyFill="1" applyBorder="1" applyAlignment="1">
      <alignment wrapText="1"/>
    </xf>
    <xf numFmtId="0" fontId="18" fillId="5" borderId="20" xfId="0" applyFont="1" applyFill="1" applyBorder="1"/>
    <xf numFmtId="167" fontId="32" fillId="5" borderId="26" xfId="3" applyNumberFormat="1" applyFont="1" applyFill="1" applyBorder="1" applyAlignment="1">
      <alignment horizontal="center"/>
    </xf>
    <xf numFmtId="0" fontId="26" fillId="5" borderId="44" xfId="0" applyFont="1" applyFill="1" applyBorder="1" applyAlignment="1">
      <alignment horizontal="center"/>
    </xf>
    <xf numFmtId="14" fontId="26" fillId="0" borderId="27" xfId="0" applyNumberFormat="1" applyFont="1" applyBorder="1" applyAlignment="1">
      <alignment horizontal="center"/>
    </xf>
    <xf numFmtId="4" fontId="15" fillId="5" borderId="18" xfId="0" applyNumberFormat="1" applyFont="1" applyFill="1" applyBorder="1" applyAlignment="1">
      <alignment vertical="center"/>
    </xf>
    <xf numFmtId="0" fontId="10" fillId="7" borderId="0" xfId="0" applyFont="1" applyFill="1" applyAlignment="1">
      <alignment vertical="center"/>
    </xf>
    <xf numFmtId="0" fontId="10" fillId="7" borderId="14" xfId="0" applyFont="1" applyFill="1" applyBorder="1" applyAlignment="1">
      <alignment vertical="center"/>
    </xf>
    <xf numFmtId="0" fontId="10" fillId="7" borderId="11" xfId="0" applyFont="1" applyFill="1" applyBorder="1" applyAlignment="1">
      <alignment vertical="center"/>
    </xf>
    <xf numFmtId="164" fontId="26" fillId="5" borderId="12" xfId="0" applyNumberFormat="1" applyFont="1" applyFill="1" applyBorder="1" applyAlignment="1">
      <alignment horizontal="center" vertical="center" wrapText="1"/>
    </xf>
    <xf numFmtId="0" fontId="21" fillId="0" borderId="0" xfId="0" applyFont="1" applyAlignment="1" applyProtection="1">
      <alignment horizontal="left" vertical="center" wrapText="1"/>
      <protection locked="0"/>
    </xf>
    <xf numFmtId="0" fontId="15" fillId="5" borderId="18" xfId="0" applyFont="1" applyFill="1" applyBorder="1" applyAlignment="1">
      <alignment horizontal="left" vertical="center"/>
    </xf>
    <xf numFmtId="0" fontId="21" fillId="5" borderId="11" xfId="0" applyFont="1" applyFill="1" applyBorder="1" applyAlignment="1" applyProtection="1">
      <alignment horizontal="left" vertical="center" wrapText="1"/>
      <protection locked="0"/>
    </xf>
    <xf numFmtId="164" fontId="26" fillId="5" borderId="12" xfId="0" applyNumberFormat="1" applyFont="1" applyFill="1" applyBorder="1" applyAlignment="1">
      <alignment horizontal="centerContinuous" vertical="center" wrapText="1"/>
    </xf>
    <xf numFmtId="0" fontId="15" fillId="5" borderId="20" xfId="0" applyFont="1" applyFill="1" applyBorder="1" applyAlignment="1">
      <alignment horizontal="left" vertical="center"/>
    </xf>
    <xf numFmtId="0" fontId="21" fillId="5" borderId="14" xfId="0" applyFont="1" applyFill="1" applyBorder="1" applyAlignment="1" applyProtection="1">
      <alignment horizontal="left" vertical="center" wrapText="1"/>
      <protection locked="0"/>
    </xf>
    <xf numFmtId="0" fontId="17" fillId="0" borderId="26" xfId="0" applyFont="1" applyBorder="1" applyAlignment="1">
      <alignment horizontal="center" vertical="center" wrapText="1"/>
    </xf>
    <xf numFmtId="0" fontId="21" fillId="5" borderId="44" xfId="0" applyFont="1" applyFill="1" applyBorder="1" applyAlignment="1" applyProtection="1">
      <alignment horizontal="center" vertical="center" wrapText="1"/>
      <protection locked="0"/>
    </xf>
    <xf numFmtId="0" fontId="15" fillId="5" borderId="44" xfId="0" applyFont="1" applyFill="1" applyBorder="1" applyAlignment="1">
      <alignment horizontal="center" vertical="center"/>
    </xf>
    <xf numFmtId="173" fontId="21" fillId="0" borderId="27" xfId="0" applyNumberFormat="1" applyFont="1" applyBorder="1" applyAlignment="1" applyProtection="1">
      <alignment horizontal="center" vertical="center"/>
      <protection locked="0"/>
    </xf>
    <xf numFmtId="167" fontId="15" fillId="5" borderId="18" xfId="3" applyNumberFormat="1" applyFont="1" applyFill="1" applyBorder="1" applyAlignment="1" applyProtection="1">
      <alignment horizontal="centerContinuous" vertical="center"/>
    </xf>
    <xf numFmtId="44" fontId="0" fillId="3" borderId="0" xfId="2" applyFont="1" applyFill="1" applyBorder="1" applyAlignment="1">
      <alignment horizontal="center" vertical="center"/>
    </xf>
    <xf numFmtId="44" fontId="0" fillId="3" borderId="13" xfId="2" applyFont="1" applyFill="1" applyBorder="1" applyAlignment="1">
      <alignment horizontal="center" vertical="center"/>
    </xf>
    <xf numFmtId="44" fontId="0" fillId="0" borderId="0" xfId="2" applyFont="1" applyBorder="1" applyAlignment="1">
      <alignment horizontal="center" vertical="center"/>
    </xf>
    <xf numFmtId="44" fontId="0" fillId="0" borderId="13" xfId="2" applyFont="1" applyBorder="1" applyAlignment="1">
      <alignment horizontal="center" vertical="center"/>
    </xf>
    <xf numFmtId="0" fontId="4" fillId="0" borderId="22" xfId="0" applyFont="1" applyBorder="1" applyAlignment="1">
      <alignment horizontal="center" vertical="center"/>
    </xf>
    <xf numFmtId="44" fontId="4" fillId="0" borderId="8" xfId="0" applyNumberFormat="1" applyFont="1" applyBorder="1" applyAlignment="1">
      <alignment horizontal="center" vertical="center"/>
    </xf>
    <xf numFmtId="165" fontId="33" fillId="5" borderId="12" xfId="0" applyNumberFormat="1" applyFont="1" applyFill="1" applyBorder="1" applyAlignment="1" applyProtection="1">
      <alignment horizontal="center" vertical="center"/>
      <protection locked="0"/>
    </xf>
    <xf numFmtId="165" fontId="33" fillId="5" borderId="13" xfId="0" applyNumberFormat="1" applyFont="1" applyFill="1" applyBorder="1" applyAlignment="1" applyProtection="1">
      <alignment horizontal="center" vertical="center"/>
      <protection locked="0"/>
    </xf>
    <xf numFmtId="0" fontId="5" fillId="3" borderId="19" xfId="0" applyFont="1" applyFill="1" applyBorder="1" applyAlignment="1">
      <alignment horizontal="center" vertical="center"/>
    </xf>
    <xf numFmtId="0" fontId="5" fillId="0" borderId="19" xfId="0" applyFont="1" applyBorder="1" applyAlignment="1">
      <alignment horizontal="center" vertical="center"/>
    </xf>
    <xf numFmtId="0" fontId="5" fillId="0" borderId="0" xfId="0" applyFont="1" applyAlignment="1">
      <alignment horizontal="center" vertical="center"/>
    </xf>
    <xf numFmtId="44" fontId="5" fillId="0" borderId="0" xfId="2" applyFont="1" applyBorder="1" applyAlignment="1">
      <alignment horizontal="center" vertical="center"/>
    </xf>
    <xf numFmtId="44" fontId="5" fillId="0" borderId="13" xfId="2" applyFont="1" applyBorder="1" applyAlignment="1">
      <alignment horizontal="center" vertical="center"/>
    </xf>
    <xf numFmtId="0" fontId="5" fillId="0" borderId="0" xfId="0" applyFont="1" applyAlignment="1">
      <alignment horizontal="left"/>
    </xf>
    <xf numFmtId="44" fontId="5" fillId="0" borderId="0" xfId="2" applyFont="1" applyFill="1" applyBorder="1" applyAlignment="1">
      <alignment horizontal="center" vertical="center"/>
    </xf>
    <xf numFmtId="44" fontId="5" fillId="3" borderId="0" xfId="2" applyFont="1" applyFill="1" applyBorder="1" applyAlignment="1">
      <alignment horizontal="center" vertical="center"/>
    </xf>
    <xf numFmtId="44" fontId="5" fillId="3" borderId="13" xfId="2" applyFont="1" applyFill="1" applyBorder="1" applyAlignment="1">
      <alignment horizontal="center" vertical="center"/>
    </xf>
    <xf numFmtId="0" fontId="5" fillId="3" borderId="19" xfId="0" applyFont="1" applyFill="1" applyBorder="1" applyAlignment="1">
      <alignment horizontal="center" vertical="center" wrapText="1"/>
    </xf>
    <xf numFmtId="0" fontId="5" fillId="0" borderId="0" xfId="0" applyFont="1"/>
    <xf numFmtId="0" fontId="5" fillId="0" borderId="1" xfId="0" applyFont="1" applyBorder="1" applyAlignment="1">
      <alignment horizontal="center" vertical="center"/>
    </xf>
    <xf numFmtId="2" fontId="5" fillId="0" borderId="1" xfId="0" applyNumberFormat="1" applyFont="1" applyBorder="1" applyAlignment="1">
      <alignment horizontal="center" vertical="center"/>
    </xf>
    <xf numFmtId="44" fontId="5" fillId="0" borderId="1" xfId="2" applyFont="1" applyFill="1" applyBorder="1" applyAlignment="1">
      <alignment horizontal="center" vertical="center"/>
    </xf>
    <xf numFmtId="44" fontId="5" fillId="0" borderId="0" xfId="2" applyFont="1" applyFill="1"/>
    <xf numFmtId="49" fontId="5" fillId="0" borderId="1" xfId="0" applyNumberFormat="1" applyFont="1" applyBorder="1" applyAlignment="1">
      <alignment horizontal="center" vertical="center" wrapText="1"/>
    </xf>
    <xf numFmtId="44" fontId="5" fillId="0" borderId="1" xfId="2" applyFont="1" applyBorder="1" applyAlignment="1">
      <alignment horizontal="center" vertical="center"/>
    </xf>
    <xf numFmtId="49" fontId="5" fillId="0" borderId="1" xfId="0" applyNumberFormat="1" applyFont="1" applyBorder="1" applyAlignment="1">
      <alignment horizontal="center" vertical="center"/>
    </xf>
    <xf numFmtId="44" fontId="5" fillId="0" borderId="0" xfId="0" applyNumberFormat="1" applyFont="1"/>
    <xf numFmtId="0" fontId="5" fillId="0" borderId="7" xfId="0" applyFont="1" applyBorder="1" applyAlignment="1">
      <alignment horizontal="center" vertical="center"/>
    </xf>
    <xf numFmtId="10" fontId="5" fillId="0" borderId="1" xfId="3" applyNumberFormat="1" applyFont="1" applyBorder="1" applyAlignment="1">
      <alignment horizontal="center" vertical="center"/>
    </xf>
    <xf numFmtId="49" fontId="34" fillId="3" borderId="23" xfId="0" applyNumberFormat="1" applyFont="1" applyFill="1" applyBorder="1" applyAlignment="1" applyProtection="1">
      <alignment horizontal="center" vertical="center"/>
      <protection locked="0"/>
    </xf>
    <xf numFmtId="0" fontId="35" fillId="3" borderId="21" xfId="0" applyFont="1" applyFill="1" applyBorder="1" applyAlignment="1" applyProtection="1">
      <alignment vertical="center" wrapText="1"/>
      <protection locked="0"/>
    </xf>
    <xf numFmtId="0" fontId="36" fillId="3" borderId="21" xfId="0" applyFont="1" applyFill="1" applyBorder="1" applyAlignment="1" applyProtection="1">
      <alignment horizontal="center" vertical="center"/>
      <protection locked="0"/>
    </xf>
    <xf numFmtId="14" fontId="36" fillId="3" borderId="21" xfId="0" applyNumberFormat="1" applyFont="1" applyFill="1" applyBorder="1" applyAlignment="1" applyProtection="1">
      <alignment horizontal="center" vertical="center"/>
      <protection locked="0"/>
    </xf>
    <xf numFmtId="165" fontId="36" fillId="3" borderId="24" xfId="0" applyNumberFormat="1" applyFont="1" applyFill="1" applyBorder="1" applyAlignment="1" applyProtection="1">
      <alignment horizontal="center" vertical="center"/>
      <protection locked="0"/>
    </xf>
    <xf numFmtId="168" fontId="36" fillId="5" borderId="19" xfId="0" applyNumberFormat="1" applyFont="1" applyFill="1" applyBorder="1" applyAlignment="1" applyProtection="1">
      <alignment horizontal="center" vertical="center"/>
      <protection locked="0"/>
    </xf>
    <xf numFmtId="0" fontId="33" fillId="5" borderId="11" xfId="0" applyFont="1" applyFill="1" applyBorder="1" applyAlignment="1" applyProtection="1">
      <alignment horizontal="left" vertical="center"/>
      <protection locked="0"/>
    </xf>
    <xf numFmtId="169" fontId="33" fillId="5" borderId="11" xfId="0" applyNumberFormat="1" applyFont="1" applyFill="1" applyBorder="1" applyAlignment="1" applyProtection="1">
      <alignment horizontal="center" vertical="center"/>
      <protection locked="0"/>
    </xf>
    <xf numFmtId="0" fontId="36" fillId="5" borderId="11" xfId="0" applyFont="1" applyFill="1" applyBorder="1" applyAlignment="1" applyProtection="1">
      <alignment horizontal="right" vertical="center"/>
      <protection locked="0"/>
    </xf>
    <xf numFmtId="0" fontId="5" fillId="0" borderId="1" xfId="0" quotePrefix="1" applyFont="1" applyBorder="1" applyAlignment="1">
      <alignment horizontal="center" vertical="center" wrapText="1"/>
    </xf>
    <xf numFmtId="44" fontId="5" fillId="0" borderId="0" xfId="2" applyFont="1" applyFill="1" applyAlignment="1">
      <alignment horizontal="center" vertical="center"/>
    </xf>
    <xf numFmtId="49" fontId="5" fillId="0" borderId="1" xfId="2" applyNumberFormat="1" applyFont="1" applyFill="1" applyBorder="1" applyAlignment="1">
      <alignment horizontal="center" vertical="center"/>
    </xf>
    <xf numFmtId="44" fontId="3" fillId="0" borderId="0" xfId="2" applyFont="1" applyFill="1" applyAlignment="1">
      <alignment vertical="center"/>
    </xf>
    <xf numFmtId="0" fontId="5" fillId="0" borderId="54" xfId="0" applyFont="1" applyBorder="1" applyAlignment="1">
      <alignment horizontal="center" vertical="center"/>
    </xf>
    <xf numFmtId="0" fontId="5" fillId="0" borderId="54" xfId="0" applyFont="1" applyBorder="1" applyAlignment="1">
      <alignment horizontal="center" vertical="center" wrapText="1"/>
    </xf>
    <xf numFmtId="2" fontId="5" fillId="0" borderId="54" xfId="0" applyNumberFormat="1" applyFont="1" applyBorder="1" applyAlignment="1">
      <alignment horizontal="center" vertical="center"/>
    </xf>
    <xf numFmtId="44" fontId="5" fillId="0" borderId="54" xfId="2" applyFont="1" applyFill="1" applyBorder="1" applyAlignment="1">
      <alignment horizontal="center" vertical="center"/>
    </xf>
    <xf numFmtId="0" fontId="5" fillId="0" borderId="7" xfId="0" applyFont="1" applyBorder="1" applyAlignment="1">
      <alignment horizontal="center" vertical="center" wrapText="1"/>
    </xf>
    <xf numFmtId="2" fontId="5" fillId="0" borderId="7" xfId="0" applyNumberFormat="1" applyFont="1" applyBorder="1" applyAlignment="1">
      <alignment horizontal="center" vertical="center"/>
    </xf>
    <xf numFmtId="44" fontId="5" fillId="0" borderId="0" xfId="2" applyFont="1" applyAlignment="1">
      <alignment horizontal="center" vertical="center"/>
    </xf>
    <xf numFmtId="44" fontId="5" fillId="0" borderId="7" xfId="2" applyFont="1" applyFill="1" applyBorder="1" applyAlignment="1">
      <alignment horizontal="center" vertical="center"/>
    </xf>
    <xf numFmtId="0" fontId="5" fillId="0" borderId="0" xfId="2" applyNumberFormat="1" applyFont="1" applyFill="1"/>
    <xf numFmtId="44" fontId="5" fillId="0" borderId="13" xfId="2" applyFont="1" applyFill="1" applyBorder="1" applyAlignment="1">
      <alignment horizontal="center" vertical="center"/>
    </xf>
    <xf numFmtId="0" fontId="5" fillId="0" borderId="0" xfId="0" applyFont="1" applyAlignment="1">
      <alignment horizontal="left" vertical="center"/>
    </xf>
    <xf numFmtId="0" fontId="5" fillId="0" borderId="2" xfId="0" applyFont="1" applyBorder="1" applyAlignment="1">
      <alignment horizontal="center" vertical="center"/>
    </xf>
    <xf numFmtId="0" fontId="5" fillId="0" borderId="6" xfId="0" applyFont="1" applyBorder="1" applyAlignment="1">
      <alignment horizontal="center" vertical="center"/>
    </xf>
    <xf numFmtId="0" fontId="5" fillId="0" borderId="3" xfId="0" applyFont="1" applyBorder="1" applyAlignment="1">
      <alignment horizontal="center" vertical="center"/>
    </xf>
    <xf numFmtId="0" fontId="5" fillId="0" borderId="0" xfId="0" applyFont="1" applyProtection="1">
      <protection locked="0"/>
    </xf>
    <xf numFmtId="44" fontId="5" fillId="0" borderId="0" xfId="2" applyFont="1" applyFill="1" applyProtection="1">
      <protection locked="0"/>
    </xf>
    <xf numFmtId="4" fontId="2" fillId="5" borderId="11" xfId="0" applyNumberFormat="1" applyFont="1" applyFill="1" applyBorder="1" applyAlignment="1">
      <alignment vertical="center"/>
    </xf>
    <xf numFmtId="0" fontId="10" fillId="5" borderId="11" xfId="0" applyFont="1" applyFill="1" applyBorder="1"/>
    <xf numFmtId="167" fontId="3" fillId="5" borderId="26" xfId="3" applyNumberFormat="1" applyFont="1" applyFill="1" applyBorder="1" applyAlignment="1">
      <alignment horizontal="center"/>
    </xf>
    <xf numFmtId="4" fontId="2" fillId="5" borderId="0" xfId="0" applyNumberFormat="1" applyFont="1" applyFill="1" applyAlignment="1">
      <alignment vertical="center"/>
    </xf>
    <xf numFmtId="0" fontId="10" fillId="5" borderId="0" xfId="0" applyFont="1" applyFill="1"/>
    <xf numFmtId="0" fontId="3" fillId="5" borderId="44" xfId="0" applyFont="1" applyFill="1" applyBorder="1" applyAlignment="1">
      <alignment horizontal="center"/>
    </xf>
    <xf numFmtId="0" fontId="2" fillId="5" borderId="14" xfId="0" applyFont="1" applyFill="1" applyBorder="1" applyAlignment="1" applyProtection="1">
      <alignment horizontal="left" vertical="center"/>
      <protection locked="0"/>
    </xf>
    <xf numFmtId="14" fontId="3" fillId="0" borderId="27" xfId="0" applyNumberFormat="1" applyFont="1" applyBorder="1" applyAlignment="1">
      <alignment horizontal="center"/>
    </xf>
    <xf numFmtId="0" fontId="5" fillId="0" borderId="18" xfId="0" applyFont="1" applyBorder="1"/>
    <xf numFmtId="0" fontId="5" fillId="0" borderId="11" xfId="0" applyFont="1" applyBorder="1"/>
    <xf numFmtId="44" fontId="5" fillId="0" borderId="11" xfId="2" applyFont="1" applyBorder="1"/>
    <xf numFmtId="44" fontId="5" fillId="0" borderId="12" xfId="2" applyFont="1" applyBorder="1"/>
    <xf numFmtId="0" fontId="5" fillId="0" borderId="19" xfId="0" applyFont="1" applyBorder="1" applyAlignment="1">
      <alignment horizontal="center"/>
    </xf>
    <xf numFmtId="44" fontId="5" fillId="0" borderId="0" xfId="2" applyFont="1" applyBorder="1" applyAlignment="1">
      <alignment horizontal="center"/>
    </xf>
    <xf numFmtId="44" fontId="5" fillId="0" borderId="13" xfId="2" applyFont="1" applyBorder="1" applyAlignment="1">
      <alignment horizontal="center"/>
    </xf>
    <xf numFmtId="0" fontId="5" fillId="0" borderId="19" xfId="0" applyFont="1" applyBorder="1"/>
    <xf numFmtId="49" fontId="5" fillId="0" borderId="0" xfId="0" applyNumberFormat="1" applyFont="1" applyAlignment="1">
      <alignment horizontal="center"/>
    </xf>
    <xf numFmtId="0" fontId="5" fillId="0" borderId="20" xfId="0" applyFont="1" applyBorder="1" applyAlignment="1">
      <alignment horizontal="center" vertical="center"/>
    </xf>
    <xf numFmtId="0" fontId="5" fillId="0" borderId="14" xfId="0" applyFont="1" applyBorder="1" applyAlignment="1">
      <alignment horizontal="center" vertical="center"/>
    </xf>
    <xf numFmtId="0" fontId="5" fillId="0" borderId="14" xfId="0" applyFont="1" applyBorder="1" applyAlignment="1">
      <alignment horizontal="center" vertical="center" wrapText="1"/>
    </xf>
    <xf numFmtId="44" fontId="5" fillId="0" borderId="14" xfId="2" applyFont="1" applyFill="1" applyBorder="1" applyAlignment="1">
      <alignment horizontal="center" vertical="center"/>
    </xf>
    <xf numFmtId="44" fontId="5" fillId="0" borderId="15" xfId="2" applyFont="1" applyBorder="1" applyAlignment="1">
      <alignment horizontal="center" vertical="center"/>
    </xf>
    <xf numFmtId="44" fontId="5" fillId="0" borderId="0" xfId="2" applyFont="1" applyAlignment="1">
      <alignment horizontal="center"/>
    </xf>
    <xf numFmtId="0" fontId="2" fillId="5" borderId="11" xfId="0" applyFont="1" applyFill="1" applyBorder="1"/>
    <xf numFmtId="167" fontId="12" fillId="5" borderId="12" xfId="3" applyNumberFormat="1" applyFont="1" applyFill="1" applyBorder="1" applyAlignment="1">
      <alignment horizontal="center"/>
    </xf>
    <xf numFmtId="167" fontId="3" fillId="5" borderId="12" xfId="3" applyNumberFormat="1" applyFont="1" applyFill="1" applyBorder="1" applyAlignment="1">
      <alignment horizontal="center"/>
    </xf>
    <xf numFmtId="0" fontId="2" fillId="5" borderId="0" xfId="0" applyFont="1" applyFill="1"/>
    <xf numFmtId="0" fontId="12" fillId="5" borderId="13" xfId="0" applyFont="1" applyFill="1" applyBorder="1" applyAlignment="1">
      <alignment horizontal="center"/>
    </xf>
    <xf numFmtId="0" fontId="3" fillId="5" borderId="13" xfId="0" applyFont="1" applyFill="1" applyBorder="1" applyAlignment="1">
      <alignment horizontal="center"/>
    </xf>
    <xf numFmtId="14" fontId="12" fillId="5" borderId="15" xfId="0" applyNumberFormat="1" applyFont="1" applyFill="1" applyBorder="1" applyAlignment="1">
      <alignment horizontal="center"/>
    </xf>
    <xf numFmtId="14" fontId="3" fillId="5" borderId="15" xfId="0" applyNumberFormat="1" applyFont="1" applyFill="1" applyBorder="1" applyAlignment="1">
      <alignment horizontal="center"/>
    </xf>
    <xf numFmtId="0" fontId="5" fillId="0" borderId="21" xfId="0" applyFont="1" applyBorder="1" applyAlignment="1">
      <alignment horizontal="center"/>
    </xf>
    <xf numFmtId="44" fontId="2" fillId="0" borderId="0" xfId="2" applyFont="1" applyFill="1" applyAlignment="1">
      <alignment vertical="center"/>
    </xf>
    <xf numFmtId="0" fontId="5" fillId="0" borderId="23" xfId="0" applyFont="1" applyBorder="1" applyAlignment="1">
      <alignment horizontal="center"/>
    </xf>
    <xf numFmtId="0" fontId="5" fillId="0" borderId="24" xfId="0" applyFont="1" applyBorder="1" applyAlignment="1">
      <alignment horizontal="center"/>
    </xf>
    <xf numFmtId="0" fontId="5" fillId="0" borderId="23" xfId="0" applyFont="1" applyBorder="1" applyAlignment="1">
      <alignment horizontal="left" vertical="top"/>
    </xf>
    <xf numFmtId="0" fontId="5" fillId="0" borderId="21" xfId="0" applyFont="1" applyBorder="1" applyAlignment="1">
      <alignment horizontal="left" vertical="top"/>
    </xf>
    <xf numFmtId="0" fontId="5" fillId="0" borderId="24" xfId="0" applyFont="1" applyBorder="1" applyAlignment="1">
      <alignment horizontal="left" vertical="top"/>
    </xf>
    <xf numFmtId="44" fontId="36" fillId="3" borderId="56" xfId="0" applyNumberFormat="1" applyFont="1" applyFill="1" applyBorder="1" applyAlignment="1">
      <alignment horizontal="center" vertical="center"/>
    </xf>
    <xf numFmtId="0" fontId="5" fillId="0" borderId="23" xfId="0" applyFont="1" applyBorder="1" applyAlignment="1">
      <alignment horizontal="center" vertical="top"/>
    </xf>
    <xf numFmtId="0" fontId="5" fillId="0" borderId="21" xfId="0" applyFont="1" applyBorder="1" applyAlignment="1">
      <alignment horizontal="center" vertical="top"/>
    </xf>
    <xf numFmtId="0" fontId="5" fillId="0" borderId="24" xfId="0" applyFont="1" applyBorder="1" applyAlignment="1">
      <alignment horizontal="center" vertical="top"/>
    </xf>
    <xf numFmtId="0" fontId="5" fillId="0" borderId="0" xfId="0" applyFont="1" applyAlignment="1">
      <alignment horizontal="left" vertical="center" wrapText="1"/>
    </xf>
    <xf numFmtId="164" fontId="5" fillId="0" borderId="0" xfId="0" applyNumberFormat="1" applyFont="1" applyAlignment="1">
      <alignment horizontal="center" vertical="center"/>
    </xf>
    <xf numFmtId="0" fontId="3" fillId="0" borderId="0" xfId="0" applyFont="1" applyAlignment="1">
      <alignment vertical="center"/>
    </xf>
    <xf numFmtId="0" fontId="3" fillId="0" borderId="0" xfId="0" applyFont="1" applyAlignment="1">
      <alignment horizontal="center" vertical="center"/>
    </xf>
    <xf numFmtId="44" fontId="3" fillId="0" borderId="0" xfId="0" applyNumberFormat="1" applyFont="1" applyAlignment="1">
      <alignment vertical="center"/>
    </xf>
    <xf numFmtId="0" fontId="25" fillId="0" borderId="0" xfId="0" applyFont="1" applyAlignment="1">
      <alignment vertical="center"/>
    </xf>
    <xf numFmtId="0" fontId="25" fillId="0" borderId="0" xfId="0" applyFont="1" applyAlignment="1">
      <alignment horizontal="center" vertical="center"/>
    </xf>
    <xf numFmtId="44" fontId="5" fillId="0" borderId="0" xfId="2" applyFont="1" applyFill="1" applyAlignment="1">
      <alignment vertical="center"/>
    </xf>
    <xf numFmtId="0" fontId="5" fillId="0" borderId="0" xfId="0" applyFont="1" applyAlignment="1">
      <alignment vertical="center"/>
    </xf>
    <xf numFmtId="0" fontId="0" fillId="3" borderId="19" xfId="0" applyFill="1" applyBorder="1" applyAlignment="1">
      <alignment horizontal="center" vertical="center" wrapText="1"/>
    </xf>
    <xf numFmtId="176" fontId="0" fillId="0" borderId="13" xfId="0" applyNumberFormat="1" applyBorder="1" applyAlignment="1">
      <alignment horizontal="center" vertical="center"/>
    </xf>
    <xf numFmtId="49" fontId="5" fillId="0" borderId="0" xfId="0" applyNumberFormat="1" applyFont="1" applyAlignment="1">
      <alignment horizontal="center" vertical="center"/>
    </xf>
    <xf numFmtId="0" fontId="5" fillId="0" borderId="0" xfId="0" applyFont="1" applyAlignment="1">
      <alignment horizontal="center" vertical="center" wrapText="1"/>
    </xf>
    <xf numFmtId="2" fontId="5" fillId="0" borderId="0" xfId="0" applyNumberFormat="1" applyFont="1" applyAlignment="1">
      <alignment horizontal="center" vertical="center"/>
    </xf>
    <xf numFmtId="0" fontId="33" fillId="5" borderId="0" xfId="0" applyFont="1" applyFill="1" applyAlignment="1" applyProtection="1">
      <alignment horizontal="left" vertical="center"/>
      <protection locked="0"/>
    </xf>
    <xf numFmtId="169" fontId="33" fillId="5" borderId="0" xfId="0" applyNumberFormat="1" applyFont="1" applyFill="1" applyAlignment="1" applyProtection="1">
      <alignment horizontal="center" vertical="center"/>
      <protection locked="0"/>
    </xf>
    <xf numFmtId="0" fontId="36" fillId="5" borderId="0" xfId="0" applyFont="1" applyFill="1" applyAlignment="1" applyProtection="1">
      <alignment horizontal="right" vertical="center"/>
      <protection locked="0"/>
    </xf>
    <xf numFmtId="0" fontId="5" fillId="3" borderId="0" xfId="0" applyFont="1" applyFill="1" applyAlignment="1">
      <alignment horizontal="center" vertical="center"/>
    </xf>
    <xf numFmtId="0" fontId="5" fillId="3" borderId="0" xfId="0" applyFont="1" applyFill="1" applyAlignment="1">
      <alignment horizontal="center" vertical="center" wrapText="1"/>
    </xf>
    <xf numFmtId="2" fontId="5" fillId="3" borderId="0" xfId="0" applyNumberFormat="1" applyFont="1" applyFill="1" applyAlignment="1">
      <alignment horizontal="center" vertical="center"/>
    </xf>
    <xf numFmtId="175" fontId="5" fillId="0" borderId="0" xfId="0" applyNumberFormat="1" applyFont="1" applyAlignment="1">
      <alignment horizontal="center" vertical="center"/>
    </xf>
    <xf numFmtId="49" fontId="5" fillId="3" borderId="0" xfId="0" applyNumberFormat="1" applyFont="1" applyFill="1" applyAlignment="1">
      <alignment horizontal="center" vertical="center"/>
    </xf>
    <xf numFmtId="49" fontId="5" fillId="3" borderId="0" xfId="0" applyNumberFormat="1" applyFont="1" applyFill="1" applyAlignment="1">
      <alignment horizontal="center" vertical="center" wrapText="1"/>
    </xf>
    <xf numFmtId="49" fontId="0" fillId="3" borderId="0" xfId="0" applyNumberFormat="1" applyFill="1" applyAlignment="1">
      <alignment horizontal="center" vertical="center" wrapText="1"/>
    </xf>
    <xf numFmtId="0" fontId="0" fillId="3" borderId="0" xfId="0" applyFill="1" applyAlignment="1">
      <alignment horizontal="center" vertical="center" wrapText="1"/>
    </xf>
    <xf numFmtId="2" fontId="0" fillId="3" borderId="0" xfId="0" applyNumberFormat="1" applyFill="1" applyAlignment="1">
      <alignment horizontal="center" vertical="center"/>
    </xf>
    <xf numFmtId="0" fontId="38" fillId="0" borderId="0" xfId="0" applyFont="1" applyAlignment="1">
      <alignment horizontal="center" vertical="center"/>
    </xf>
    <xf numFmtId="2" fontId="0" fillId="0" borderId="0" xfId="0" applyNumberFormat="1" applyAlignment="1">
      <alignment horizontal="center" vertical="center"/>
    </xf>
    <xf numFmtId="2" fontId="5" fillId="0" borderId="0" xfId="0" applyNumberFormat="1" applyFont="1" applyAlignment="1">
      <alignment horizontal="center"/>
    </xf>
    <xf numFmtId="176" fontId="5" fillId="0" borderId="0" xfId="0" applyNumberFormat="1" applyFont="1" applyAlignment="1">
      <alignment horizontal="center" vertical="center"/>
    </xf>
    <xf numFmtId="175" fontId="5" fillId="0" borderId="0" xfId="0" applyNumberFormat="1" applyFont="1" applyAlignment="1">
      <alignment horizontal="left" vertical="center"/>
    </xf>
    <xf numFmtId="171" fontId="5" fillId="0" borderId="0" xfId="0" applyNumberFormat="1" applyFont="1" applyAlignment="1">
      <alignment horizontal="center" vertical="center"/>
    </xf>
    <xf numFmtId="1" fontId="5" fillId="3" borderId="0" xfId="0" applyNumberFormat="1" applyFont="1" applyFill="1" applyAlignment="1">
      <alignment horizontal="center" vertical="center"/>
    </xf>
    <xf numFmtId="0" fontId="0" fillId="0" borderId="23" xfId="0" applyBorder="1" applyAlignment="1">
      <alignment vertical="center"/>
    </xf>
    <xf numFmtId="0" fontId="0" fillId="0" borderId="21" xfId="0" applyBorder="1" applyAlignment="1">
      <alignment vertical="center"/>
    </xf>
    <xf numFmtId="0" fontId="0" fillId="0" borderId="24" xfId="0" applyBorder="1" applyAlignment="1">
      <alignment vertical="center"/>
    </xf>
    <xf numFmtId="0" fontId="17" fillId="3" borderId="57" xfId="0" applyFont="1" applyFill="1" applyBorder="1" applyAlignment="1">
      <alignment horizontal="center" vertical="center" wrapText="1"/>
    </xf>
    <xf numFmtId="0" fontId="17" fillId="3" borderId="58" xfId="0" applyFont="1" applyFill="1" applyBorder="1" applyAlignment="1">
      <alignment horizontal="center" vertical="center" wrapText="1"/>
    </xf>
    <xf numFmtId="4" fontId="17" fillId="3" borderId="58" xfId="0" applyNumberFormat="1" applyFont="1" applyFill="1" applyBorder="1" applyAlignment="1">
      <alignment horizontal="center" vertical="center" wrapText="1"/>
    </xf>
    <xf numFmtId="4" fontId="17" fillId="3" borderId="59" xfId="0" applyNumberFormat="1" applyFont="1" applyFill="1" applyBorder="1" applyAlignment="1">
      <alignment horizontal="center" vertical="center" wrapText="1"/>
    </xf>
    <xf numFmtId="44" fontId="3" fillId="2" borderId="3" xfId="0" applyNumberFormat="1" applyFont="1" applyFill="1" applyBorder="1" applyAlignment="1">
      <alignment horizontal="center" vertical="center" wrapText="1"/>
    </xf>
    <xf numFmtId="44" fontId="3" fillId="2" borderId="1" xfId="2" applyFont="1" applyFill="1" applyBorder="1" applyAlignment="1">
      <alignment horizontal="center" vertical="center" wrapText="1"/>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3" fillId="2" borderId="3" xfId="0" applyFont="1" applyFill="1" applyBorder="1" applyAlignment="1">
      <alignment horizontal="center" vertical="center" wrapText="1"/>
    </xf>
    <xf numFmtId="44" fontId="3" fillId="2" borderId="3" xfId="2" applyFont="1" applyFill="1" applyBorder="1" applyAlignment="1">
      <alignment horizontal="center" vertical="center" wrapText="1"/>
    </xf>
    <xf numFmtId="0" fontId="25" fillId="9" borderId="3" xfId="0" applyFont="1" applyFill="1" applyBorder="1" applyAlignment="1">
      <alignment horizontal="center" vertical="center" wrapText="1"/>
    </xf>
    <xf numFmtId="44" fontId="25" fillId="9" borderId="3" xfId="0" applyNumberFormat="1" applyFont="1" applyFill="1" applyBorder="1" applyAlignment="1">
      <alignment horizontal="center" vertical="center" wrapText="1"/>
    </xf>
    <xf numFmtId="44" fontId="25" fillId="9" borderId="3" xfId="2" applyFont="1" applyFill="1" applyBorder="1" applyAlignment="1">
      <alignment horizontal="center" vertical="center" wrapText="1"/>
    </xf>
    <xf numFmtId="174" fontId="4" fillId="0" borderId="8" xfId="3" applyNumberFormat="1" applyFont="1" applyBorder="1" applyAlignment="1">
      <alignment horizontal="center" vertical="center"/>
    </xf>
    <xf numFmtId="0" fontId="0" fillId="0" borderId="0" xfId="0" applyAlignment="1">
      <alignment horizontal="left" vertical="center" wrapText="1"/>
    </xf>
    <xf numFmtId="164" fontId="0" fillId="0" borderId="0" xfId="0" applyNumberFormat="1" applyAlignment="1">
      <alignment horizontal="center" vertical="center"/>
    </xf>
    <xf numFmtId="0" fontId="0" fillId="0" borderId="0" xfId="0" applyAlignment="1">
      <alignment horizontal="left" vertical="center"/>
    </xf>
    <xf numFmtId="0" fontId="7" fillId="0" borderId="0" xfId="0" applyFont="1" applyAlignment="1">
      <alignment vertical="center"/>
    </xf>
    <xf numFmtId="0" fontId="8" fillId="0" borderId="0" xfId="0" applyFont="1" applyAlignment="1">
      <alignment horizontal="center" vertical="center"/>
    </xf>
    <xf numFmtId="10" fontId="7" fillId="0" borderId="0" xfId="0" applyNumberFormat="1" applyFont="1" applyAlignment="1">
      <alignment vertical="center"/>
    </xf>
    <xf numFmtId="4" fontId="7" fillId="0" borderId="0" xfId="0" applyNumberFormat="1" applyFont="1" applyAlignment="1">
      <alignment vertical="center"/>
    </xf>
    <xf numFmtId="0" fontId="11" fillId="0" borderId="0" xfId="0" applyFont="1" applyAlignment="1">
      <alignment horizontal="left" vertical="center"/>
    </xf>
    <xf numFmtId="0" fontId="37" fillId="0" borderId="0" xfId="0" applyFont="1" applyAlignment="1">
      <alignment horizontal="left"/>
    </xf>
    <xf numFmtId="0" fontId="18" fillId="0" borderId="0" xfId="0" applyFont="1" applyAlignment="1">
      <alignment horizontal="left"/>
    </xf>
    <xf numFmtId="0" fontId="2" fillId="0" borderId="0" xfId="0" applyFont="1" applyAlignment="1">
      <alignment horizontal="left" vertical="center"/>
    </xf>
    <xf numFmtId="44" fontId="5" fillId="0" borderId="0" xfId="2" applyFont="1" applyFill="1" applyAlignment="1">
      <alignment horizontal="left"/>
    </xf>
    <xf numFmtId="0" fontId="0" fillId="0" borderId="0" xfId="0" applyAlignment="1">
      <alignment horizontal="left"/>
    </xf>
    <xf numFmtId="0" fontId="6" fillId="5" borderId="23" xfId="0" applyFont="1" applyFill="1" applyBorder="1" applyAlignment="1">
      <alignment horizontal="center" vertical="center"/>
    </xf>
    <xf numFmtId="0" fontId="6" fillId="5" borderId="21" xfId="0" applyFont="1" applyFill="1" applyBorder="1" applyAlignment="1">
      <alignment horizontal="center" vertical="center"/>
    </xf>
    <xf numFmtId="0" fontId="6" fillId="5" borderId="24" xfId="0" applyFont="1" applyFill="1" applyBorder="1" applyAlignment="1">
      <alignment horizontal="center" vertical="center"/>
    </xf>
    <xf numFmtId="4" fontId="12" fillId="5" borderId="18" xfId="0" applyNumberFormat="1" applyFont="1" applyFill="1" applyBorder="1" applyAlignment="1">
      <alignment vertical="center"/>
    </xf>
    <xf numFmtId="4" fontId="10" fillId="5" borderId="11" xfId="0" applyNumberFormat="1" applyFont="1" applyFill="1" applyBorder="1" applyAlignment="1">
      <alignment vertical="center"/>
    </xf>
    <xf numFmtId="4" fontId="39" fillId="5" borderId="11" xfId="0" applyNumberFormat="1" applyFont="1" applyFill="1" applyBorder="1" applyAlignment="1">
      <alignment vertical="center"/>
    </xf>
    <xf numFmtId="4" fontId="39" fillId="5" borderId="18" xfId="0" applyNumberFormat="1" applyFont="1" applyFill="1" applyBorder="1" applyAlignment="1">
      <alignment vertical="center"/>
    </xf>
    <xf numFmtId="4" fontId="9" fillId="5" borderId="12" xfId="0" applyNumberFormat="1" applyFont="1" applyFill="1" applyBorder="1" applyAlignment="1">
      <alignment horizontal="center" vertical="center"/>
    </xf>
    <xf numFmtId="4" fontId="12" fillId="5" borderId="19" xfId="0" applyNumberFormat="1" applyFont="1" applyFill="1" applyBorder="1" applyAlignment="1">
      <alignment vertical="center"/>
    </xf>
    <xf numFmtId="4" fontId="10" fillId="5" borderId="0" xfId="0" applyNumberFormat="1" applyFont="1" applyFill="1" applyAlignment="1">
      <alignment vertical="center"/>
    </xf>
    <xf numFmtId="0" fontId="9" fillId="5" borderId="0" xfId="0" applyFont="1" applyFill="1" applyAlignment="1">
      <alignment vertical="center"/>
    </xf>
    <xf numFmtId="0" fontId="9" fillId="5" borderId="19" xfId="0" applyFont="1" applyFill="1" applyBorder="1" applyAlignment="1">
      <alignment vertical="center"/>
    </xf>
    <xf numFmtId="14" fontId="9" fillId="0" borderId="13" xfId="0" applyNumberFormat="1" applyFont="1" applyBorder="1" applyAlignment="1">
      <alignment horizontal="center" vertical="center"/>
    </xf>
    <xf numFmtId="4" fontId="12" fillId="5" borderId="20" xfId="0" applyNumberFormat="1" applyFont="1" applyFill="1" applyBorder="1" applyAlignment="1">
      <alignment vertical="center"/>
    </xf>
    <xf numFmtId="0" fontId="10" fillId="5" borderId="14" xfId="0" applyFont="1" applyFill="1" applyBorder="1" applyAlignment="1" applyProtection="1">
      <alignment horizontal="left" vertical="center"/>
      <protection locked="0"/>
    </xf>
    <xf numFmtId="0" fontId="9" fillId="5" borderId="14" xfId="0" applyFont="1" applyFill="1" applyBorder="1" applyAlignment="1">
      <alignment vertical="center"/>
    </xf>
    <xf numFmtId="0" fontId="6" fillId="5" borderId="20" xfId="0" applyFont="1" applyFill="1" applyBorder="1" applyAlignment="1">
      <alignment vertical="center"/>
    </xf>
    <xf numFmtId="0" fontId="9" fillId="5" borderId="15" xfId="0" applyFont="1" applyFill="1" applyBorder="1" applyAlignment="1" applyProtection="1">
      <alignment horizontal="center" vertical="center"/>
      <protection locked="0"/>
    </xf>
    <xf numFmtId="0" fontId="6" fillId="5" borderId="23" xfId="0" applyFont="1" applyFill="1" applyBorder="1" applyAlignment="1">
      <alignment vertical="center"/>
    </xf>
    <xf numFmtId="0" fontId="9" fillId="5" borderId="21" xfId="0" applyFont="1" applyFill="1" applyBorder="1" applyAlignment="1">
      <alignment vertical="center"/>
    </xf>
    <xf numFmtId="0" fontId="9" fillId="5" borderId="24" xfId="0" applyFont="1" applyFill="1" applyBorder="1" applyAlignment="1">
      <alignment horizontal="center" vertical="center"/>
    </xf>
    <xf numFmtId="0" fontId="6" fillId="5" borderId="21" xfId="0" applyFont="1" applyFill="1" applyBorder="1" applyAlignment="1">
      <alignment horizontal="left" vertical="center"/>
    </xf>
    <xf numFmtId="170" fontId="36" fillId="3" borderId="23" xfId="0" applyNumberFormat="1" applyFont="1" applyFill="1" applyBorder="1" applyProtection="1">
      <protection locked="0"/>
    </xf>
    <xf numFmtId="170" fontId="36" fillId="3" borderId="21" xfId="0" applyNumberFormat="1" applyFont="1" applyFill="1" applyBorder="1" applyProtection="1">
      <protection locked="0"/>
    </xf>
    <xf numFmtId="170" fontId="36" fillId="3" borderId="24" xfId="0" applyNumberFormat="1" applyFont="1" applyFill="1" applyBorder="1" applyProtection="1">
      <protection locked="0"/>
    </xf>
    <xf numFmtId="170" fontId="36" fillId="5" borderId="20" xfId="0" applyNumberFormat="1" applyFont="1" applyFill="1" applyBorder="1" applyAlignment="1">
      <alignment horizontal="center"/>
    </xf>
    <xf numFmtId="170" fontId="36" fillId="5" borderId="14" xfId="0" applyNumberFormat="1" applyFont="1" applyFill="1" applyBorder="1" applyAlignment="1">
      <alignment horizontal="center"/>
    </xf>
    <xf numFmtId="170" fontId="36" fillId="5" borderId="15" xfId="0" applyNumberFormat="1" applyFont="1" applyFill="1" applyBorder="1" applyAlignment="1">
      <alignment horizontal="center"/>
    </xf>
    <xf numFmtId="0" fontId="33" fillId="5" borderId="11" xfId="5" applyFont="1" applyFill="1" applyBorder="1" applyAlignment="1" applyProtection="1">
      <alignment horizontal="left" vertical="center"/>
      <protection locked="0"/>
    </xf>
    <xf numFmtId="169" fontId="33" fillId="5" borderId="11" xfId="5" applyNumberFormat="1" applyFont="1" applyFill="1" applyBorder="1" applyAlignment="1" applyProtection="1">
      <alignment horizontal="center" vertical="center"/>
      <protection locked="0"/>
    </xf>
    <xf numFmtId="0" fontId="36" fillId="5" borderId="11" xfId="5" applyFont="1" applyFill="1" applyBorder="1" applyAlignment="1" applyProtection="1">
      <alignment horizontal="right" vertical="center"/>
      <protection locked="0"/>
    </xf>
    <xf numFmtId="165" fontId="33" fillId="5" borderId="12" xfId="5" applyNumberFormat="1" applyFont="1" applyFill="1" applyBorder="1" applyAlignment="1" applyProtection="1">
      <alignment horizontal="center" vertical="center"/>
      <protection locked="0"/>
    </xf>
    <xf numFmtId="169" fontId="33" fillId="5" borderId="0" xfId="5" applyNumberFormat="1" applyFont="1" applyFill="1" applyAlignment="1" applyProtection="1">
      <alignment horizontal="center" vertical="center"/>
      <protection locked="0"/>
    </xf>
    <xf numFmtId="0" fontId="36" fillId="5" borderId="0" xfId="5" applyFont="1" applyFill="1" applyAlignment="1" applyProtection="1">
      <alignment horizontal="right" vertical="center"/>
      <protection locked="0"/>
    </xf>
    <xf numFmtId="165" fontId="33" fillId="5" borderId="13" xfId="5" applyNumberFormat="1" applyFont="1" applyFill="1" applyBorder="1" applyAlignment="1" applyProtection="1">
      <alignment horizontal="center" vertical="center"/>
      <protection locked="0"/>
    </xf>
    <xf numFmtId="0" fontId="33" fillId="5" borderId="14" xfId="5" applyFont="1" applyFill="1" applyBorder="1" applyAlignment="1" applyProtection="1">
      <alignment horizontal="left" vertical="center"/>
      <protection locked="0"/>
    </xf>
    <xf numFmtId="169" fontId="33" fillId="5" borderId="14" xfId="5" applyNumberFormat="1" applyFont="1" applyFill="1" applyBorder="1" applyAlignment="1" applyProtection="1">
      <alignment horizontal="center" vertical="center"/>
      <protection locked="0"/>
    </xf>
    <xf numFmtId="0" fontId="36" fillId="5" borderId="14" xfId="5" applyFont="1" applyFill="1" applyBorder="1" applyAlignment="1" applyProtection="1">
      <alignment horizontal="right" vertical="center"/>
      <protection locked="0"/>
    </xf>
    <xf numFmtId="165" fontId="33" fillId="5" borderId="15" xfId="5" applyNumberFormat="1" applyFont="1" applyFill="1" applyBorder="1" applyAlignment="1" applyProtection="1">
      <alignment horizontal="center" vertical="center"/>
      <protection locked="0"/>
    </xf>
    <xf numFmtId="170" fontId="36" fillId="5" borderId="23" xfId="0" applyNumberFormat="1" applyFont="1" applyFill="1" applyBorder="1" applyAlignment="1">
      <alignment horizontal="center"/>
    </xf>
    <xf numFmtId="170" fontId="36" fillId="5" borderId="21" xfId="0" applyNumberFormat="1" applyFont="1" applyFill="1" applyBorder="1" applyAlignment="1">
      <alignment horizontal="center"/>
    </xf>
    <xf numFmtId="170" fontId="36" fillId="5" borderId="24" xfId="0" applyNumberFormat="1" applyFont="1" applyFill="1" applyBorder="1" applyAlignment="1">
      <alignment horizontal="center"/>
    </xf>
    <xf numFmtId="8" fontId="5" fillId="0" borderId="0" xfId="0" applyNumberFormat="1" applyFont="1" applyProtection="1">
      <protection locked="0"/>
    </xf>
    <xf numFmtId="168" fontId="36" fillId="0" borderId="19" xfId="0" applyNumberFormat="1" applyFont="1" applyBorder="1" applyAlignment="1" applyProtection="1">
      <alignment horizontal="center" vertical="center"/>
      <protection locked="0"/>
    </xf>
    <xf numFmtId="0" fontId="33" fillId="0" borderId="11" xfId="0" applyFont="1" applyBorder="1" applyAlignment="1" applyProtection="1">
      <alignment horizontal="left" vertical="center"/>
      <protection locked="0"/>
    </xf>
    <xf numFmtId="169" fontId="33" fillId="0" borderId="11" xfId="5" applyNumberFormat="1" applyFont="1" applyBorder="1" applyAlignment="1" applyProtection="1">
      <alignment horizontal="center" vertical="center"/>
      <protection locked="0"/>
    </xf>
    <xf numFmtId="0" fontId="36" fillId="0" borderId="11" xfId="0" applyFont="1" applyBorder="1" applyAlignment="1" applyProtection="1">
      <alignment horizontal="right" vertical="center"/>
      <protection locked="0"/>
    </xf>
    <xf numFmtId="165" fontId="33" fillId="0" borderId="12" xfId="0" applyNumberFormat="1" applyFont="1" applyBorder="1" applyAlignment="1" applyProtection="1">
      <alignment horizontal="center" vertical="center"/>
      <protection locked="0"/>
    </xf>
    <xf numFmtId="0" fontId="33" fillId="5" borderId="0" xfId="5" applyFont="1" applyFill="1" applyAlignment="1" applyProtection="1">
      <alignment horizontal="left" vertical="center"/>
      <protection locked="0"/>
    </xf>
    <xf numFmtId="0" fontId="35" fillId="3" borderId="21" xfId="0" quotePrefix="1" applyFont="1" applyFill="1" applyBorder="1" applyAlignment="1" applyProtection="1">
      <alignment vertical="center" wrapText="1"/>
      <protection locked="0"/>
    </xf>
    <xf numFmtId="0" fontId="5" fillId="10" borderId="1" xfId="0" applyFont="1" applyFill="1" applyBorder="1" applyAlignment="1">
      <alignment horizontal="center" vertical="center"/>
    </xf>
    <xf numFmtId="0" fontId="5" fillId="10" borderId="1" xfId="0" applyFont="1" applyFill="1" applyBorder="1" applyAlignment="1">
      <alignment horizontal="center" vertical="center" wrapText="1"/>
    </xf>
    <xf numFmtId="2" fontId="5" fillId="10" borderId="1" xfId="0" applyNumberFormat="1" applyFont="1" applyFill="1" applyBorder="1" applyAlignment="1">
      <alignment horizontal="center" vertical="center"/>
    </xf>
    <xf numFmtId="44" fontId="5" fillId="10" borderId="1" xfId="2" applyFont="1" applyFill="1" applyBorder="1" applyAlignment="1">
      <alignment horizontal="center" vertical="center"/>
    </xf>
    <xf numFmtId="0" fontId="5" fillId="10" borderId="1" xfId="0" quotePrefix="1" applyFont="1" applyFill="1" applyBorder="1" applyAlignment="1">
      <alignment horizontal="center" vertical="center" wrapText="1"/>
    </xf>
    <xf numFmtId="0" fontId="5" fillId="10" borderId="49" xfId="0" applyFont="1" applyFill="1" applyBorder="1" applyAlignment="1">
      <alignment horizontal="center" vertical="center"/>
    </xf>
    <xf numFmtId="174" fontId="5" fillId="10" borderId="1" xfId="3" applyNumberFormat="1" applyFont="1" applyFill="1" applyBorder="1" applyAlignment="1">
      <alignment horizontal="center" vertical="center"/>
    </xf>
    <xf numFmtId="174" fontId="5" fillId="10" borderId="1" xfId="0" applyNumberFormat="1" applyFont="1" applyFill="1" applyBorder="1" applyAlignment="1">
      <alignment horizontal="center" vertical="center"/>
    </xf>
    <xf numFmtId="0" fontId="5" fillId="10" borderId="50" xfId="0" applyFont="1" applyFill="1" applyBorder="1" applyAlignment="1">
      <alignment horizontal="center" vertical="center"/>
    </xf>
    <xf numFmtId="0" fontId="5" fillId="11" borderId="1" xfId="0" applyFont="1" applyFill="1" applyBorder="1" applyAlignment="1">
      <alignment horizontal="center" vertical="center"/>
    </xf>
    <xf numFmtId="0" fontId="5" fillId="11" borderId="1" xfId="0" applyFont="1" applyFill="1" applyBorder="1" applyAlignment="1">
      <alignment horizontal="center" vertical="center" wrapText="1"/>
    </xf>
    <xf numFmtId="2" fontId="5" fillId="11" borderId="1" xfId="0" applyNumberFormat="1" applyFont="1" applyFill="1" applyBorder="1" applyAlignment="1">
      <alignment horizontal="center" vertical="center"/>
    </xf>
    <xf numFmtId="44" fontId="5" fillId="11" borderId="1" xfId="2" applyFont="1" applyFill="1" applyBorder="1" applyAlignment="1">
      <alignment horizontal="center" vertical="center"/>
    </xf>
    <xf numFmtId="0" fontId="5" fillId="11" borderId="1" xfId="0" quotePrefix="1" applyFont="1" applyFill="1" applyBorder="1" applyAlignment="1">
      <alignment horizontal="center" vertical="center" wrapText="1"/>
    </xf>
    <xf numFmtId="10" fontId="5" fillId="11" borderId="1" xfId="3" applyNumberFormat="1" applyFont="1" applyFill="1" applyBorder="1" applyAlignment="1">
      <alignment horizontal="center" vertical="center"/>
    </xf>
    <xf numFmtId="0" fontId="5" fillId="12" borderId="1" xfId="0" applyFont="1" applyFill="1" applyBorder="1" applyAlignment="1">
      <alignment horizontal="center" vertical="center"/>
    </xf>
    <xf numFmtId="0" fontId="5" fillId="12" borderId="1" xfId="0" applyFont="1" applyFill="1" applyBorder="1" applyAlignment="1">
      <alignment horizontal="center" vertical="center" wrapText="1"/>
    </xf>
    <xf numFmtId="2" fontId="5" fillId="12" borderId="1" xfId="0" applyNumberFormat="1" applyFont="1" applyFill="1" applyBorder="1" applyAlignment="1">
      <alignment horizontal="center" vertical="center"/>
    </xf>
    <xf numFmtId="44" fontId="5" fillId="12" borderId="1" xfId="2" applyFont="1" applyFill="1" applyBorder="1" applyAlignment="1">
      <alignment horizontal="center" vertical="center"/>
    </xf>
    <xf numFmtId="49" fontId="5" fillId="12" borderId="1" xfId="0" applyNumberFormat="1" applyFont="1" applyFill="1" applyBorder="1" applyAlignment="1">
      <alignment horizontal="center" vertical="center"/>
    </xf>
    <xf numFmtId="0" fontId="5" fillId="12" borderId="1" xfId="0" quotePrefix="1" applyFont="1" applyFill="1" applyBorder="1" applyAlignment="1">
      <alignment horizontal="center" vertical="center" wrapText="1"/>
    </xf>
    <xf numFmtId="174" fontId="5" fillId="12" borderId="1" xfId="3" applyNumberFormat="1" applyFont="1" applyFill="1" applyBorder="1" applyAlignment="1">
      <alignment horizontal="center" vertical="center"/>
    </xf>
    <xf numFmtId="174" fontId="5" fillId="12" borderId="1" xfId="0" applyNumberFormat="1" applyFont="1" applyFill="1" applyBorder="1" applyAlignment="1">
      <alignment horizontal="center" vertical="center"/>
    </xf>
    <xf numFmtId="174" fontId="5" fillId="11" borderId="1" xfId="3" applyNumberFormat="1" applyFont="1" applyFill="1" applyBorder="1" applyAlignment="1">
      <alignment horizontal="center" vertical="center"/>
    </xf>
    <xf numFmtId="174" fontId="5" fillId="11" borderId="1" xfId="0" applyNumberFormat="1" applyFont="1" applyFill="1" applyBorder="1" applyAlignment="1">
      <alignment horizontal="center" vertical="center"/>
    </xf>
    <xf numFmtId="49" fontId="5" fillId="12" borderId="10" xfId="0" applyNumberFormat="1" applyFont="1" applyFill="1" applyBorder="1" applyAlignment="1">
      <alignment horizontal="center" vertical="center" wrapText="1"/>
    </xf>
    <xf numFmtId="0" fontId="5" fillId="12" borderId="60" xfId="0" applyFont="1" applyFill="1" applyBorder="1" applyAlignment="1">
      <alignment horizontal="center" vertical="center"/>
    </xf>
    <xf numFmtId="0" fontId="5" fillId="12" borderId="60" xfId="0" applyFont="1" applyFill="1" applyBorder="1" applyAlignment="1">
      <alignment horizontal="center" vertical="center" wrapText="1"/>
    </xf>
    <xf numFmtId="2" fontId="5" fillId="12" borderId="60" xfId="0" applyNumberFormat="1" applyFont="1" applyFill="1" applyBorder="1" applyAlignment="1">
      <alignment horizontal="center" vertical="center"/>
    </xf>
    <xf numFmtId="44" fontId="5" fillId="12" borderId="60" xfId="2" applyFont="1" applyFill="1" applyBorder="1" applyAlignment="1">
      <alignment horizontal="center" vertical="center"/>
    </xf>
    <xf numFmtId="174" fontId="5" fillId="12" borderId="60" xfId="3" applyNumberFormat="1" applyFont="1" applyFill="1" applyBorder="1" applyAlignment="1">
      <alignment horizontal="center" vertical="center"/>
    </xf>
    <xf numFmtId="174" fontId="5" fillId="12" borderId="60" xfId="0" applyNumberFormat="1" applyFont="1" applyFill="1" applyBorder="1" applyAlignment="1">
      <alignment horizontal="center" vertical="center"/>
    </xf>
    <xf numFmtId="0" fontId="5" fillId="12" borderId="61" xfId="0" applyFont="1" applyFill="1" applyBorder="1" applyAlignment="1">
      <alignment horizontal="center" vertical="center"/>
    </xf>
    <xf numFmtId="0" fontId="5" fillId="12" borderId="49" xfId="0" applyFont="1" applyFill="1" applyBorder="1" applyAlignment="1">
      <alignment horizontal="center" vertical="center"/>
    </xf>
    <xf numFmtId="0" fontId="5" fillId="12" borderId="50" xfId="0" applyFont="1" applyFill="1" applyBorder="1" applyAlignment="1">
      <alignment horizontal="center" vertical="center"/>
    </xf>
    <xf numFmtId="49" fontId="5" fillId="12" borderId="49" xfId="0" applyNumberFormat="1" applyFont="1" applyFill="1" applyBorder="1" applyAlignment="1">
      <alignment horizontal="center" vertical="center" wrapText="1"/>
    </xf>
    <xf numFmtId="49" fontId="5" fillId="12" borderId="49" xfId="2" applyNumberFormat="1" applyFont="1" applyFill="1" applyBorder="1" applyAlignment="1">
      <alignment horizontal="center" vertical="center"/>
    </xf>
    <xf numFmtId="0" fontId="5" fillId="11" borderId="49" xfId="0" applyFont="1" applyFill="1" applyBorder="1" applyAlignment="1">
      <alignment horizontal="center" vertical="center"/>
    </xf>
    <xf numFmtId="0" fontId="5" fillId="11" borderId="50" xfId="0" applyFont="1" applyFill="1" applyBorder="1" applyAlignment="1">
      <alignment horizontal="center" vertical="center"/>
    </xf>
    <xf numFmtId="0" fontId="5" fillId="11" borderId="49" xfId="0" applyFont="1" applyFill="1" applyBorder="1" applyAlignment="1">
      <alignment horizontal="center" vertical="center" wrapText="1"/>
    </xf>
    <xf numFmtId="0" fontId="5" fillId="10" borderId="49" xfId="0" applyFont="1" applyFill="1" applyBorder="1" applyAlignment="1">
      <alignment horizontal="center" vertical="center" wrapText="1"/>
    </xf>
    <xf numFmtId="49" fontId="5" fillId="10" borderId="49" xfId="0" applyNumberFormat="1" applyFont="1" applyFill="1" applyBorder="1" applyAlignment="1">
      <alignment horizontal="center" vertical="center"/>
    </xf>
    <xf numFmtId="0" fontId="5" fillId="10" borderId="62" xfId="0" applyFont="1" applyFill="1" applyBorder="1" applyAlignment="1">
      <alignment horizontal="center" vertical="center"/>
    </xf>
    <xf numFmtId="0" fontId="5" fillId="10" borderId="63" xfId="0" applyFont="1" applyFill="1" applyBorder="1" applyAlignment="1">
      <alignment horizontal="center" vertical="center"/>
    </xf>
    <xf numFmtId="0" fontId="5" fillId="10" borderId="63" xfId="0" applyFont="1" applyFill="1" applyBorder="1" applyAlignment="1">
      <alignment horizontal="center" vertical="center" wrapText="1"/>
    </xf>
    <xf numFmtId="2" fontId="5" fillId="10" borderId="63" xfId="0" applyNumberFormat="1" applyFont="1" applyFill="1" applyBorder="1" applyAlignment="1">
      <alignment horizontal="center" vertical="center"/>
    </xf>
    <xf numFmtId="44" fontId="5" fillId="10" borderId="63" xfId="2" applyFont="1" applyFill="1" applyBorder="1" applyAlignment="1">
      <alignment horizontal="center" vertical="center"/>
    </xf>
    <xf numFmtId="174" fontId="5" fillId="10" borderId="63" xfId="3" applyNumberFormat="1" applyFont="1" applyFill="1" applyBorder="1" applyAlignment="1">
      <alignment horizontal="center" vertical="center"/>
    </xf>
    <xf numFmtId="174" fontId="5" fillId="10" borderId="63" xfId="0" applyNumberFormat="1" applyFont="1" applyFill="1" applyBorder="1" applyAlignment="1">
      <alignment horizontal="center" vertical="center"/>
    </xf>
    <xf numFmtId="0" fontId="5" fillId="10" borderId="64" xfId="0" applyFont="1" applyFill="1" applyBorder="1" applyAlignment="1">
      <alignment horizontal="center" vertical="center"/>
    </xf>
    <xf numFmtId="172" fontId="20" fillId="5" borderId="18" xfId="0" applyNumberFormat="1" applyFont="1" applyFill="1" applyBorder="1" applyAlignment="1">
      <alignment horizontal="center" vertical="center" wrapText="1"/>
    </xf>
    <xf numFmtId="172" fontId="20" fillId="5" borderId="11" xfId="0" applyNumberFormat="1" applyFont="1" applyFill="1" applyBorder="1" applyAlignment="1">
      <alignment horizontal="center" vertical="center" wrapText="1"/>
    </xf>
    <xf numFmtId="14" fontId="17" fillId="0" borderId="19" xfId="0" applyNumberFormat="1" applyFont="1" applyBorder="1" applyAlignment="1" applyProtection="1">
      <alignment horizontal="center" vertical="center"/>
      <protection locked="0"/>
    </xf>
    <xf numFmtId="14" fontId="17" fillId="0" borderId="13" xfId="0" applyNumberFormat="1" applyFont="1" applyBorder="1" applyAlignment="1" applyProtection="1">
      <alignment horizontal="center" vertical="center"/>
      <protection locked="0"/>
    </xf>
    <xf numFmtId="14" fontId="17" fillId="0" borderId="20" xfId="0" applyNumberFormat="1" applyFont="1" applyBorder="1" applyAlignment="1" applyProtection="1">
      <alignment horizontal="center" vertical="center"/>
      <protection locked="0"/>
    </xf>
    <xf numFmtId="14" fontId="17" fillId="0" borderId="15" xfId="0" applyNumberFormat="1" applyFont="1" applyBorder="1" applyAlignment="1" applyProtection="1">
      <alignment horizontal="center" vertical="center"/>
      <protection locked="0"/>
    </xf>
    <xf numFmtId="0" fontId="17" fillId="5" borderId="19" xfId="0" applyFont="1" applyFill="1" applyBorder="1" applyAlignment="1" applyProtection="1">
      <alignment horizontal="center" vertical="center"/>
      <protection locked="0"/>
    </xf>
    <xf numFmtId="0" fontId="17" fillId="5" borderId="13" xfId="0" applyFont="1" applyFill="1" applyBorder="1" applyAlignment="1" applyProtection="1">
      <alignment horizontal="center" vertical="center"/>
      <protection locked="0"/>
    </xf>
    <xf numFmtId="0" fontId="36" fillId="3" borderId="20" xfId="0" applyFont="1" applyFill="1" applyBorder="1" applyAlignment="1">
      <alignment horizontal="center" vertical="center"/>
    </xf>
    <xf numFmtId="0" fontId="36" fillId="3" borderId="14" xfId="0" applyFont="1" applyFill="1" applyBorder="1" applyAlignment="1">
      <alignment horizontal="center" vertical="center"/>
    </xf>
    <xf numFmtId="0" fontId="36" fillId="3" borderId="55" xfId="0" applyFont="1" applyFill="1" applyBorder="1" applyAlignment="1">
      <alignment horizontal="center" vertical="center"/>
    </xf>
    <xf numFmtId="0" fontId="5" fillId="0" borderId="2" xfId="0" applyFont="1" applyBorder="1" applyAlignment="1">
      <alignment horizontal="center" vertical="center"/>
    </xf>
    <xf numFmtId="0" fontId="5" fillId="0" borderId="6" xfId="0" applyFont="1" applyBorder="1" applyAlignment="1">
      <alignment horizontal="center" vertical="center"/>
    </xf>
    <xf numFmtId="0" fontId="5" fillId="0" borderId="3" xfId="0" applyFont="1" applyBorder="1" applyAlignment="1">
      <alignment horizontal="center" vertical="center"/>
    </xf>
    <xf numFmtId="0" fontId="11" fillId="5" borderId="18" xfId="0" applyFont="1" applyFill="1" applyBorder="1" applyAlignment="1">
      <alignment horizontal="center" vertical="center"/>
    </xf>
    <xf numFmtId="0" fontId="11" fillId="5" borderId="11" xfId="0" applyFont="1" applyFill="1" applyBorder="1" applyAlignment="1">
      <alignment horizontal="center" vertical="center"/>
    </xf>
    <xf numFmtId="0" fontId="11" fillId="5" borderId="24" xfId="0" applyFont="1" applyFill="1" applyBorder="1" applyAlignment="1">
      <alignment horizontal="center" vertical="center"/>
    </xf>
    <xf numFmtId="0" fontId="5" fillId="0" borderId="20" xfId="0" applyFont="1" applyBorder="1" applyAlignment="1">
      <alignment horizontal="center"/>
    </xf>
    <xf numFmtId="0" fontId="5" fillId="0" borderId="14" xfId="0" applyFont="1" applyBorder="1" applyAlignment="1">
      <alignment horizontal="center"/>
    </xf>
    <xf numFmtId="0" fontId="5" fillId="0" borderId="21" xfId="0" applyFont="1" applyBorder="1" applyAlignment="1">
      <alignment horizont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11" fillId="4" borderId="22" xfId="0" applyFont="1" applyFill="1" applyBorder="1" applyAlignment="1">
      <alignment horizontal="center" vertical="center"/>
    </xf>
    <xf numFmtId="0" fontId="11" fillId="4" borderId="25" xfId="0" applyFont="1" applyFill="1" applyBorder="1" applyAlignment="1">
      <alignment horizontal="center" vertical="center"/>
    </xf>
    <xf numFmtId="0" fontId="11" fillId="4" borderId="8" xfId="0" applyFont="1" applyFill="1" applyBorder="1" applyAlignment="1">
      <alignment horizontal="center" vertical="center"/>
    </xf>
    <xf numFmtId="0" fontId="5" fillId="0" borderId="52" xfId="0" applyFont="1" applyBorder="1" applyAlignment="1">
      <alignment horizontal="center"/>
    </xf>
    <xf numFmtId="0" fontId="5" fillId="0" borderId="0" xfId="0" applyFont="1" applyAlignment="1">
      <alignment horizontal="center"/>
    </xf>
    <xf numFmtId="0" fontId="5" fillId="0" borderId="53" xfId="0" applyFont="1" applyBorder="1" applyAlignment="1">
      <alignment horizontal="center"/>
    </xf>
    <xf numFmtId="0" fontId="0" fillId="0" borderId="0" xfId="0" applyAlignment="1">
      <alignment horizontal="center"/>
    </xf>
    <xf numFmtId="0" fontId="0" fillId="0" borderId="14" xfId="0" applyBorder="1" applyAlignment="1">
      <alignment horizontal="center"/>
    </xf>
    <xf numFmtId="0" fontId="4" fillId="4" borderId="21" xfId="0" applyFont="1" applyFill="1" applyBorder="1" applyAlignment="1">
      <alignment horizontal="center"/>
    </xf>
    <xf numFmtId="0" fontId="4" fillId="0" borderId="0" xfId="0" applyFont="1" applyAlignment="1">
      <alignment horizontal="center"/>
    </xf>
    <xf numFmtId="0" fontId="4" fillId="0" borderId="0" xfId="0" applyFont="1" applyAlignment="1">
      <alignment horizontal="center" wrapText="1"/>
    </xf>
    <xf numFmtId="0" fontId="0" fillId="0" borderId="19" xfId="0" applyBorder="1" applyAlignment="1">
      <alignment horizontal="center"/>
    </xf>
    <xf numFmtId="0" fontId="0" fillId="0" borderId="13" xfId="0" applyBorder="1" applyAlignment="1">
      <alignment horizontal="center"/>
    </xf>
    <xf numFmtId="0" fontId="0" fillId="0" borderId="19" xfId="0" applyBorder="1" applyAlignment="1">
      <alignment horizontal="center" wrapText="1"/>
    </xf>
    <xf numFmtId="0" fontId="0" fillId="0" borderId="0" xfId="0" applyAlignment="1">
      <alignment horizontal="center" wrapText="1"/>
    </xf>
    <xf numFmtId="0" fontId="0" fillId="0" borderId="13" xfId="0" applyBorder="1" applyAlignment="1">
      <alignment horizontal="center" wrapText="1"/>
    </xf>
    <xf numFmtId="0" fontId="4" fillId="0" borderId="0" xfId="0" applyFont="1" applyAlignment="1">
      <alignment horizontal="center" vertical="center" wrapText="1"/>
    </xf>
    <xf numFmtId="0" fontId="4" fillId="6" borderId="21" xfId="0" applyFont="1" applyFill="1" applyBorder="1" applyAlignment="1">
      <alignment horizontal="center"/>
    </xf>
    <xf numFmtId="0" fontId="11" fillId="5" borderId="23" xfId="0" applyFont="1" applyFill="1" applyBorder="1" applyAlignment="1">
      <alignment horizontal="center" vertical="center"/>
    </xf>
    <xf numFmtId="0" fontId="11" fillId="5" borderId="21" xfId="0" applyFont="1" applyFill="1" applyBorder="1" applyAlignment="1">
      <alignment horizontal="center" vertical="center"/>
    </xf>
    <xf numFmtId="4" fontId="31" fillId="5" borderId="11" xfId="0" applyNumberFormat="1" applyFont="1" applyFill="1" applyBorder="1" applyAlignment="1">
      <alignment horizontal="left" vertical="center"/>
    </xf>
    <xf numFmtId="167" fontId="32" fillId="5" borderId="18" xfId="3" applyNumberFormat="1" applyFont="1" applyFill="1" applyBorder="1" applyAlignment="1">
      <alignment horizontal="center"/>
    </xf>
    <xf numFmtId="167" fontId="32" fillId="5" borderId="12" xfId="3" applyNumberFormat="1" applyFont="1" applyFill="1" applyBorder="1" applyAlignment="1">
      <alignment horizontal="center"/>
    </xf>
    <xf numFmtId="4" fontId="31" fillId="5" borderId="0" xfId="0" applyNumberFormat="1" applyFont="1" applyFill="1" applyAlignment="1">
      <alignment horizontal="left" vertical="center"/>
    </xf>
    <xf numFmtId="0" fontId="26" fillId="5" borderId="44" xfId="0" applyFont="1" applyFill="1" applyBorder="1" applyAlignment="1">
      <alignment horizontal="center"/>
    </xf>
    <xf numFmtId="0" fontId="26" fillId="5" borderId="13" xfId="0" applyFont="1" applyFill="1" applyBorder="1" applyAlignment="1">
      <alignment horizontal="center"/>
    </xf>
    <xf numFmtId="4" fontId="31" fillId="5" borderId="14" xfId="0" applyNumberFormat="1" applyFont="1" applyFill="1" applyBorder="1" applyAlignment="1">
      <alignment horizontal="left" vertical="center"/>
    </xf>
    <xf numFmtId="14" fontId="26" fillId="0" borderId="20" xfId="0" applyNumberFormat="1" applyFont="1" applyBorder="1" applyAlignment="1">
      <alignment horizontal="center"/>
    </xf>
    <xf numFmtId="14" fontId="26" fillId="0" borderId="15" xfId="0" applyNumberFormat="1" applyFont="1" applyBorder="1" applyAlignment="1">
      <alignment horizontal="center"/>
    </xf>
    <xf numFmtId="0" fontId="0" fillId="0" borderId="18" xfId="0"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0" fontId="22" fillId="6" borderId="21" xfId="0" applyFont="1" applyFill="1" applyBorder="1" applyAlignment="1">
      <alignment horizontal="center"/>
    </xf>
    <xf numFmtId="0" fontId="0" fillId="0" borderId="0" xfId="0" applyAlignment="1">
      <alignment horizontal="center" vertical="center" wrapText="1"/>
    </xf>
    <xf numFmtId="0" fontId="11" fillId="5" borderId="12" xfId="0" applyFont="1" applyFill="1" applyBorder="1" applyAlignment="1">
      <alignment horizontal="center" vertical="center"/>
    </xf>
    <xf numFmtId="0" fontId="33" fillId="0" borderId="19" xfId="0" applyFont="1" applyBorder="1" applyAlignment="1">
      <alignment horizontal="center" vertical="center" wrapText="1"/>
    </xf>
    <xf numFmtId="0" fontId="33" fillId="0" borderId="0" xfId="0" applyFont="1" applyAlignment="1">
      <alignment horizontal="center" vertical="center" wrapText="1"/>
    </xf>
    <xf numFmtId="0" fontId="33" fillId="0" borderId="13" xfId="0" applyFont="1" applyBorder="1" applyAlignment="1">
      <alignment horizontal="center" vertical="center" wrapText="1"/>
    </xf>
    <xf numFmtId="4" fontId="11" fillId="5" borderId="18" xfId="0" applyNumberFormat="1" applyFont="1" applyFill="1" applyBorder="1" applyAlignment="1" applyProtection="1">
      <alignment horizontal="center" vertical="center"/>
      <protection locked="0"/>
    </xf>
    <xf numFmtId="4" fontId="11" fillId="5" borderId="11" xfId="0" applyNumberFormat="1" applyFont="1" applyFill="1" applyBorder="1" applyAlignment="1" applyProtection="1">
      <alignment horizontal="center" vertical="center"/>
      <protection locked="0"/>
    </xf>
    <xf numFmtId="4" fontId="11" fillId="5" borderId="12" xfId="0" applyNumberFormat="1" applyFont="1" applyFill="1" applyBorder="1" applyAlignment="1" applyProtection="1">
      <alignment horizontal="center" vertical="center"/>
      <protection locked="0"/>
    </xf>
    <xf numFmtId="0" fontId="12" fillId="8" borderId="14" xfId="0" applyFont="1" applyFill="1" applyBorder="1" applyAlignment="1" applyProtection="1">
      <alignment horizontal="center" vertical="center"/>
      <protection locked="0"/>
    </xf>
    <xf numFmtId="14" fontId="10" fillId="7" borderId="14" xfId="0" applyNumberFormat="1" applyFont="1" applyFill="1" applyBorder="1" applyAlignment="1">
      <alignment horizontal="center" vertical="center"/>
    </xf>
    <xf numFmtId="14" fontId="10" fillId="7" borderId="15" xfId="0" applyNumberFormat="1" applyFont="1" applyFill="1" applyBorder="1" applyAlignment="1">
      <alignment horizontal="center" vertical="center"/>
    </xf>
    <xf numFmtId="4" fontId="20" fillId="5" borderId="18" xfId="0" applyNumberFormat="1" applyFont="1" applyFill="1" applyBorder="1" applyAlignment="1">
      <alignment horizontal="center" vertical="center" wrapText="1"/>
    </xf>
    <xf numFmtId="4" fontId="20" fillId="5" borderId="11" xfId="0" applyNumberFormat="1" applyFont="1" applyFill="1" applyBorder="1" applyAlignment="1">
      <alignment horizontal="center" vertical="center" wrapText="1"/>
    </xf>
    <xf numFmtId="4" fontId="20" fillId="5" borderId="12" xfId="0" applyNumberFormat="1" applyFont="1" applyFill="1" applyBorder="1" applyAlignment="1">
      <alignment horizontal="center" vertical="center" wrapText="1"/>
    </xf>
    <xf numFmtId="0" fontId="12" fillId="7" borderId="11" xfId="0" applyFont="1" applyFill="1" applyBorder="1" applyAlignment="1">
      <alignment horizontal="center" vertical="center"/>
    </xf>
    <xf numFmtId="166" fontId="10" fillId="7" borderId="11" xfId="0" applyNumberFormat="1" applyFont="1" applyFill="1" applyBorder="1" applyAlignment="1">
      <alignment horizontal="center" vertical="center"/>
    </xf>
    <xf numFmtId="166" fontId="10" fillId="7" borderId="12" xfId="0" applyNumberFormat="1" applyFont="1" applyFill="1" applyBorder="1" applyAlignment="1">
      <alignment horizontal="center" vertical="center"/>
    </xf>
    <xf numFmtId="0" fontId="10" fillId="7" borderId="0" xfId="0" applyFont="1" applyFill="1" applyAlignment="1">
      <alignment horizontal="center" vertical="center"/>
    </xf>
    <xf numFmtId="14" fontId="10" fillId="7" borderId="0" xfId="0" applyNumberFormat="1" applyFont="1" applyFill="1" applyAlignment="1">
      <alignment horizontal="center" vertical="center"/>
    </xf>
    <xf numFmtId="14" fontId="10" fillId="7" borderId="13" xfId="0" applyNumberFormat="1" applyFont="1" applyFill="1" applyBorder="1" applyAlignment="1">
      <alignment horizontal="center" vertical="center"/>
    </xf>
    <xf numFmtId="0" fontId="4" fillId="3" borderId="20" xfId="0" applyFont="1" applyFill="1" applyBorder="1" applyAlignment="1" applyProtection="1">
      <alignment horizontal="center" vertical="center" wrapText="1"/>
      <protection locked="0"/>
    </xf>
    <xf numFmtId="0" fontId="4" fillId="3" borderId="14" xfId="0" applyFont="1" applyFill="1" applyBorder="1" applyAlignment="1" applyProtection="1">
      <alignment horizontal="center" vertical="center" wrapText="1"/>
      <protection locked="0"/>
    </xf>
    <xf numFmtId="0" fontId="4" fillId="3" borderId="15" xfId="0" applyFont="1" applyFill="1" applyBorder="1" applyAlignment="1" applyProtection="1">
      <alignment horizontal="center" vertical="center" wrapText="1"/>
      <protection locked="0"/>
    </xf>
    <xf numFmtId="0" fontId="24" fillId="5" borderId="0" xfId="0" applyFont="1" applyFill="1" applyAlignment="1">
      <alignment horizontal="center" vertical="center"/>
    </xf>
    <xf numFmtId="0" fontId="4" fillId="5" borderId="0" xfId="0" applyFont="1" applyFill="1" applyAlignment="1">
      <alignment horizontal="center" vertical="center"/>
    </xf>
    <xf numFmtId="171" fontId="0" fillId="5" borderId="0" xfId="0" applyNumberFormat="1" applyFill="1" applyAlignment="1">
      <alignment horizontal="center" vertical="center"/>
    </xf>
    <xf numFmtId="10" fontId="4" fillId="5" borderId="0" xfId="3" applyNumberFormat="1" applyFont="1" applyFill="1" applyAlignment="1" applyProtection="1">
      <alignment horizontal="center" vertical="center"/>
    </xf>
    <xf numFmtId="0" fontId="4" fillId="5" borderId="5" xfId="0" applyFont="1" applyFill="1" applyBorder="1" applyAlignment="1">
      <alignment horizontal="center" vertical="top"/>
    </xf>
    <xf numFmtId="49" fontId="9" fillId="5" borderId="26" xfId="0" applyNumberFormat="1" applyFont="1" applyFill="1" applyBorder="1" applyAlignment="1">
      <alignment horizontal="center" vertical="center"/>
    </xf>
    <xf numFmtId="0" fontId="9" fillId="5" borderId="44" xfId="0" applyFont="1" applyFill="1" applyBorder="1" applyAlignment="1">
      <alignment horizontal="center" vertical="center"/>
    </xf>
    <xf numFmtId="0" fontId="9" fillId="5" borderId="27" xfId="0" applyFont="1" applyFill="1" applyBorder="1" applyAlignment="1">
      <alignment horizontal="center" vertical="center"/>
    </xf>
    <xf numFmtId="4" fontId="9" fillId="0" borderId="11" xfId="0" applyNumberFormat="1" applyFont="1" applyBorder="1" applyAlignment="1">
      <alignment horizontal="left" vertical="center" wrapText="1"/>
    </xf>
    <xf numFmtId="0" fontId="9" fillId="0" borderId="0" xfId="0" applyFont="1" applyAlignment="1">
      <alignment horizontal="left" vertical="center" wrapText="1"/>
    </xf>
    <xf numFmtId="0" fontId="9" fillId="0" borderId="14" xfId="0" applyFont="1" applyBorder="1" applyAlignment="1">
      <alignment horizontal="left" vertical="center" wrapText="1"/>
    </xf>
    <xf numFmtId="164" fontId="9" fillId="5" borderId="29" xfId="0" applyNumberFormat="1" applyFont="1" applyFill="1" applyBorder="1" applyAlignment="1">
      <alignment horizontal="center" vertical="center"/>
    </xf>
    <xf numFmtId="164" fontId="9" fillId="5" borderId="33" xfId="0" applyNumberFormat="1" applyFont="1" applyFill="1" applyBorder="1" applyAlignment="1">
      <alignment horizontal="center" vertical="center"/>
    </xf>
    <xf numFmtId="164" fontId="9" fillId="5" borderId="37" xfId="0" applyNumberFormat="1" applyFont="1" applyFill="1" applyBorder="1" applyAlignment="1">
      <alignment horizontal="center" vertical="center"/>
    </xf>
    <xf numFmtId="10" fontId="9" fillId="5" borderId="28" xfId="0" applyNumberFormat="1" applyFont="1" applyFill="1" applyBorder="1" applyAlignment="1">
      <alignment horizontal="center" vertical="center"/>
    </xf>
    <xf numFmtId="10" fontId="9" fillId="5" borderId="32" xfId="0" applyNumberFormat="1" applyFont="1" applyFill="1" applyBorder="1" applyAlignment="1">
      <alignment horizontal="center" vertical="center"/>
    </xf>
    <xf numFmtId="10" fontId="9" fillId="5" borderId="36" xfId="0" applyNumberFormat="1" applyFont="1" applyFill="1" applyBorder="1" applyAlignment="1">
      <alignment horizontal="center" vertical="center"/>
    </xf>
    <xf numFmtId="0" fontId="0" fillId="0" borderId="23" xfId="0" applyBorder="1" applyAlignment="1">
      <alignment horizontal="center"/>
    </xf>
    <xf numFmtId="0" fontId="0" fillId="0" borderId="21" xfId="0" applyBorder="1" applyAlignment="1">
      <alignment horizontal="center"/>
    </xf>
    <xf numFmtId="0" fontId="11" fillId="4" borderId="9" xfId="0" applyFont="1" applyFill="1" applyBorder="1" applyAlignment="1">
      <alignment horizontal="center" vertical="center"/>
    </xf>
    <xf numFmtId="0" fontId="6" fillId="5" borderId="26" xfId="0" applyFont="1" applyFill="1" applyBorder="1" applyAlignment="1">
      <alignment horizontal="center" vertical="center"/>
    </xf>
    <xf numFmtId="0" fontId="6" fillId="5" borderId="27" xfId="0" applyFont="1" applyFill="1" applyBorder="1" applyAlignment="1">
      <alignment horizontal="center" vertical="center"/>
    </xf>
    <xf numFmtId="0" fontId="6" fillId="5" borderId="18" xfId="0" applyFont="1" applyFill="1" applyBorder="1" applyAlignment="1">
      <alignment horizontal="center" vertical="center"/>
    </xf>
    <xf numFmtId="0" fontId="6" fillId="5" borderId="11" xfId="0" applyFont="1" applyFill="1" applyBorder="1" applyAlignment="1">
      <alignment horizontal="center" vertical="center"/>
    </xf>
    <xf numFmtId="0" fontId="6" fillId="5" borderId="12" xfId="0" applyFont="1" applyFill="1" applyBorder="1" applyAlignment="1">
      <alignment horizontal="center" vertical="center"/>
    </xf>
    <xf numFmtId="0" fontId="6" fillId="5" borderId="20" xfId="0" applyFont="1" applyFill="1" applyBorder="1" applyAlignment="1">
      <alignment horizontal="center" vertical="center"/>
    </xf>
    <xf numFmtId="0" fontId="6" fillId="5" borderId="14" xfId="0" applyFont="1" applyFill="1" applyBorder="1" applyAlignment="1">
      <alignment horizontal="center" vertical="center"/>
    </xf>
    <xf numFmtId="0" fontId="6" fillId="5" borderId="15" xfId="0" applyFont="1" applyFill="1" applyBorder="1" applyAlignment="1">
      <alignment horizontal="center" vertical="center"/>
    </xf>
    <xf numFmtId="0" fontId="6" fillId="5" borderId="23" xfId="0" applyFont="1" applyFill="1" applyBorder="1" applyAlignment="1">
      <alignment horizontal="center" vertical="center"/>
    </xf>
    <xf numFmtId="0" fontId="6" fillId="5" borderId="21" xfId="0" applyFont="1" applyFill="1" applyBorder="1" applyAlignment="1">
      <alignment horizontal="center" vertical="center"/>
    </xf>
    <xf numFmtId="0" fontId="6" fillId="5" borderId="24" xfId="0" applyFont="1" applyFill="1" applyBorder="1" applyAlignment="1">
      <alignment horizontal="center" vertical="center"/>
    </xf>
    <xf numFmtId="0" fontId="9" fillId="5" borderId="26" xfId="0" applyFont="1" applyFill="1" applyBorder="1" applyAlignment="1">
      <alignment horizontal="center" vertical="center"/>
    </xf>
    <xf numFmtId="0" fontId="9" fillId="5" borderId="26" xfId="0" applyFont="1" applyFill="1" applyBorder="1" applyAlignment="1">
      <alignment horizontal="center" vertical="center" wrapText="1"/>
    </xf>
    <xf numFmtId="0" fontId="9" fillId="5" borderId="44" xfId="0" applyFont="1" applyFill="1" applyBorder="1" applyAlignment="1">
      <alignment horizontal="center" vertical="center" wrapText="1"/>
    </xf>
    <xf numFmtId="0" fontId="9" fillId="5" borderId="27" xfId="0" applyFont="1" applyFill="1" applyBorder="1" applyAlignment="1">
      <alignment horizontal="center" vertical="center" wrapText="1"/>
    </xf>
    <xf numFmtId="0" fontId="9" fillId="0" borderId="11" xfId="0" applyFont="1" applyBorder="1" applyAlignment="1">
      <alignment horizontal="left" vertical="center" wrapText="1"/>
    </xf>
    <xf numFmtId="0" fontId="9" fillId="0" borderId="26" xfId="0" applyFont="1" applyBorder="1" applyAlignment="1">
      <alignment horizontal="left" vertical="center" wrapText="1"/>
    </xf>
    <xf numFmtId="0" fontId="9" fillId="0" borderId="44" xfId="0" applyFont="1" applyBorder="1" applyAlignment="1">
      <alignment horizontal="left" vertical="center" wrapText="1"/>
    </xf>
    <xf numFmtId="0" fontId="9" fillId="0" borderId="27" xfId="0" applyFont="1" applyBorder="1" applyAlignment="1">
      <alignment horizontal="left" vertical="center" wrapText="1"/>
    </xf>
    <xf numFmtId="0" fontId="6" fillId="5" borderId="48" xfId="0" applyFont="1" applyFill="1" applyBorder="1" applyAlignment="1">
      <alignment horizontal="left" vertical="center"/>
    </xf>
    <xf numFmtId="0" fontId="6" fillId="5" borderId="47" xfId="0" applyFont="1" applyFill="1" applyBorder="1" applyAlignment="1">
      <alignment horizontal="left" vertical="center"/>
    </xf>
    <xf numFmtId="0" fontId="6" fillId="5" borderId="17" xfId="0" applyFont="1" applyFill="1" applyBorder="1" applyAlignment="1">
      <alignment horizontal="left" vertical="center"/>
    </xf>
    <xf numFmtId="10" fontId="9" fillId="5" borderId="26" xfId="0" applyNumberFormat="1" applyFont="1" applyFill="1" applyBorder="1" applyAlignment="1">
      <alignment horizontal="center" vertical="center"/>
    </xf>
    <xf numFmtId="10" fontId="9" fillId="5" borderId="44" xfId="0" applyNumberFormat="1" applyFont="1" applyFill="1" applyBorder="1" applyAlignment="1">
      <alignment horizontal="center" vertical="center"/>
    </xf>
    <xf numFmtId="10" fontId="9" fillId="5" borderId="27" xfId="0" applyNumberFormat="1" applyFont="1" applyFill="1" applyBorder="1" applyAlignment="1">
      <alignment horizontal="center" vertical="center"/>
    </xf>
    <xf numFmtId="44" fontId="0" fillId="0" borderId="23" xfId="2" applyFont="1" applyBorder="1" applyAlignment="1">
      <alignment horizontal="center" vertical="center"/>
    </xf>
    <xf numFmtId="44" fontId="0" fillId="0" borderId="24" xfId="2" applyFont="1" applyBorder="1" applyAlignment="1">
      <alignment horizontal="center" vertical="center"/>
    </xf>
    <xf numFmtId="0" fontId="5" fillId="0" borderId="20" xfId="0" applyFont="1" applyFill="1" applyBorder="1" applyAlignment="1">
      <alignment horizontal="center" vertical="center"/>
    </xf>
    <xf numFmtId="0" fontId="5" fillId="0" borderId="14" xfId="0" applyFont="1" applyFill="1" applyBorder="1" applyAlignment="1">
      <alignment horizontal="center" vertical="center"/>
    </xf>
    <xf numFmtId="0" fontId="5" fillId="0" borderId="15" xfId="0" applyFont="1" applyFill="1" applyBorder="1" applyAlignment="1">
      <alignment horizontal="center" vertical="center"/>
    </xf>
    <xf numFmtId="14" fontId="26" fillId="5" borderId="20" xfId="0" applyNumberFormat="1" applyFont="1" applyFill="1" applyBorder="1" applyAlignment="1">
      <alignment horizontal="center"/>
    </xf>
    <xf numFmtId="14" fontId="26" fillId="5" borderId="15" xfId="0" applyNumberFormat="1" applyFont="1" applyFill="1" applyBorder="1" applyAlignment="1">
      <alignment horizontal="center"/>
    </xf>
  </cellXfs>
  <cellStyles count="6">
    <cellStyle name="Moeda" xfId="2" builtinId="4"/>
    <cellStyle name="Normal" xfId="0" builtinId="0"/>
    <cellStyle name="Normal 2" xfId="5" xr:uid="{FA23741B-385A-4A21-AA03-18CE945BDFF0}"/>
    <cellStyle name="Porcentagem" xfId="3" builtinId="5"/>
    <cellStyle name="Porcentagem 2 2 3" xfId="4" xr:uid="{00000000-0005-0000-0000-000003000000}"/>
    <cellStyle name="Vírgula" xfId="1" builtinId="3"/>
  </cellStyles>
  <dxfs count="39">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externalLink" Target="externalLinks/externalLink6.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1" Type="http://schemas.openxmlformats.org/officeDocument/2006/relationships/image" Target="../media/image1.emf"/></Relationships>
</file>

<file path=xl/drawings/_rels/drawing7.xml.rels><?xml version="1.0" encoding="UTF-8" standalone="yes"?>
<Relationships xmlns="http://schemas.openxmlformats.org/package/2006/relationships"><Relationship Id="rId1" Type="http://schemas.openxmlformats.org/officeDocument/2006/relationships/image" Target="../media/image1.emf"/></Relationships>
</file>

<file path=xl/drawings/_rels/drawing8.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5.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6.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7.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8.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352425</xdr:colOff>
          <xdr:row>0</xdr:row>
          <xdr:rowOff>76200</xdr:rowOff>
        </xdr:from>
        <xdr:to>
          <xdr:col>4</xdr:col>
          <xdr:colOff>933450</xdr:colOff>
          <xdr:row>0</xdr:row>
          <xdr:rowOff>702454</xdr:rowOff>
        </xdr:to>
        <xdr:pic>
          <xdr:nvPicPr>
            <xdr:cNvPr id="3" name="Imagem 2">
              <a:extLst>
                <a:ext uri="{FF2B5EF4-FFF2-40B4-BE49-F238E27FC236}">
                  <a16:creationId xmlns:a16="http://schemas.microsoft.com/office/drawing/2014/main" id="{C2F5C458-EE5C-435E-88FE-35815F8FC3B1}"/>
                </a:ext>
              </a:extLst>
            </xdr:cNvPr>
            <xdr:cNvPicPr>
              <a:picLocks noChangeAspect="1" noChangeArrowheads="1"/>
              <a:extLst>
                <a:ext uri="{84589F7E-364E-4C9E-8A38-B11213B215E9}">
                  <a14:cameraTool cellRange="IMAGEM_PREFEITURA" spid="_x0000_s31916"/>
                </a:ext>
              </a:extLst>
            </xdr:cNvPicPr>
          </xdr:nvPicPr>
          <xdr:blipFill>
            <a:blip xmlns:r="http://schemas.openxmlformats.org/officeDocument/2006/relationships" r:embed="rId1"/>
            <a:srcRect/>
            <a:stretch>
              <a:fillRect/>
            </a:stretch>
          </xdr:blipFill>
          <xdr:spPr bwMode="auto">
            <a:xfrm>
              <a:off x="10258425" y="76200"/>
              <a:ext cx="581025" cy="626254"/>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778329</xdr:colOff>
          <xdr:row>0</xdr:row>
          <xdr:rowOff>108859</xdr:rowOff>
        </xdr:from>
        <xdr:to>
          <xdr:col>9</xdr:col>
          <xdr:colOff>1687287</xdr:colOff>
          <xdr:row>0</xdr:row>
          <xdr:rowOff>1088573</xdr:rowOff>
        </xdr:to>
        <xdr:pic>
          <xdr:nvPicPr>
            <xdr:cNvPr id="2" name="Imagem 1">
              <a:extLst>
                <a:ext uri="{FF2B5EF4-FFF2-40B4-BE49-F238E27FC236}">
                  <a16:creationId xmlns:a16="http://schemas.microsoft.com/office/drawing/2014/main" id="{F51679BC-F04F-4BD4-B126-F917A629D1F3}"/>
                </a:ext>
              </a:extLst>
            </xdr:cNvPr>
            <xdr:cNvPicPr>
              <a:picLocks noChangeAspect="1" noChangeArrowheads="1"/>
              <a:extLst>
                <a:ext uri="{84589F7E-364E-4C9E-8A38-B11213B215E9}">
                  <a14:cameraTool cellRange="IMAGEM_PREFEITURA" spid="_x0000_s29882"/>
                </a:ext>
              </a:extLst>
            </xdr:cNvPicPr>
          </xdr:nvPicPr>
          <xdr:blipFill>
            <a:blip xmlns:r="http://schemas.openxmlformats.org/officeDocument/2006/relationships" r:embed="rId1"/>
            <a:srcRect/>
            <a:stretch>
              <a:fillRect/>
            </a:stretch>
          </xdr:blipFill>
          <xdr:spPr bwMode="auto">
            <a:xfrm>
              <a:off x="16263258" y="108859"/>
              <a:ext cx="908958" cy="979714"/>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173228</xdr:colOff>
          <xdr:row>0</xdr:row>
          <xdr:rowOff>78441</xdr:rowOff>
        </xdr:from>
        <xdr:to>
          <xdr:col>9</xdr:col>
          <xdr:colOff>942575</xdr:colOff>
          <xdr:row>0</xdr:row>
          <xdr:rowOff>907676</xdr:rowOff>
        </xdr:to>
        <xdr:pic>
          <xdr:nvPicPr>
            <xdr:cNvPr id="2" name="Imagem 1">
              <a:extLst>
                <a:ext uri="{FF2B5EF4-FFF2-40B4-BE49-F238E27FC236}">
                  <a16:creationId xmlns:a16="http://schemas.microsoft.com/office/drawing/2014/main" id="{340455DA-B264-491F-9C6F-1BEA84614AB8}"/>
                </a:ext>
              </a:extLst>
            </xdr:cNvPr>
            <xdr:cNvPicPr>
              <a:picLocks noChangeAspect="1" noChangeArrowheads="1"/>
              <a:extLst>
                <a:ext uri="{84589F7E-364E-4C9E-8A38-B11213B215E9}">
                  <a14:cameraTool cellRange="IMAGEM_PREFEITURA" spid="_x0000_s18413"/>
                </a:ext>
              </a:extLst>
            </xdr:cNvPicPr>
          </xdr:nvPicPr>
          <xdr:blipFill>
            <a:blip xmlns:r="http://schemas.openxmlformats.org/officeDocument/2006/relationships" r:embed="rId1"/>
            <a:srcRect/>
            <a:stretch>
              <a:fillRect/>
            </a:stretch>
          </xdr:blipFill>
          <xdr:spPr bwMode="auto">
            <a:xfrm>
              <a:off x="9922346" y="78441"/>
              <a:ext cx="769347" cy="829235"/>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503464</xdr:colOff>
          <xdr:row>0</xdr:row>
          <xdr:rowOff>81643</xdr:rowOff>
        </xdr:from>
        <xdr:to>
          <xdr:col>7</xdr:col>
          <xdr:colOff>1412422</xdr:colOff>
          <xdr:row>0</xdr:row>
          <xdr:rowOff>1061357</xdr:rowOff>
        </xdr:to>
        <xdr:pic>
          <xdr:nvPicPr>
            <xdr:cNvPr id="2" name="Imagem 1">
              <a:extLst>
                <a:ext uri="{FF2B5EF4-FFF2-40B4-BE49-F238E27FC236}">
                  <a16:creationId xmlns:a16="http://schemas.microsoft.com/office/drawing/2014/main" id="{1B528BED-15FB-4F0C-B1BC-18C7A32D4AE4}"/>
                </a:ext>
              </a:extLst>
            </xdr:cNvPr>
            <xdr:cNvPicPr>
              <a:picLocks noChangeAspect="1" noChangeArrowheads="1"/>
              <a:extLst>
                <a:ext uri="{84589F7E-364E-4C9E-8A38-B11213B215E9}">
                  <a14:cameraTool cellRange="IMAGEM_PREFEITURA" spid="_x0000_s21958"/>
                </a:ext>
              </a:extLst>
            </xdr:cNvPicPr>
          </xdr:nvPicPr>
          <xdr:blipFill>
            <a:blip xmlns:r="http://schemas.openxmlformats.org/officeDocument/2006/relationships" r:embed="rId1"/>
            <a:srcRect/>
            <a:stretch>
              <a:fillRect/>
            </a:stretch>
          </xdr:blipFill>
          <xdr:spPr bwMode="auto">
            <a:xfrm>
              <a:off x="13076464" y="81643"/>
              <a:ext cx="908958" cy="979714"/>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515471</xdr:colOff>
          <xdr:row>0</xdr:row>
          <xdr:rowOff>56030</xdr:rowOff>
        </xdr:from>
        <xdr:to>
          <xdr:col>4</xdr:col>
          <xdr:colOff>1165412</xdr:colOff>
          <xdr:row>0</xdr:row>
          <xdr:rowOff>756564</xdr:rowOff>
        </xdr:to>
        <xdr:pic>
          <xdr:nvPicPr>
            <xdr:cNvPr id="3" name="Imagem 2">
              <a:extLst>
                <a:ext uri="{FF2B5EF4-FFF2-40B4-BE49-F238E27FC236}">
                  <a16:creationId xmlns:a16="http://schemas.microsoft.com/office/drawing/2014/main" id="{07522CB5-D22E-4237-B197-7416C02652D5}"/>
                </a:ext>
              </a:extLst>
            </xdr:cNvPr>
            <xdr:cNvPicPr>
              <a:picLocks noChangeAspect="1" noChangeArrowheads="1"/>
              <a:extLst>
                <a:ext uri="{84589F7E-364E-4C9E-8A38-B11213B215E9}">
                  <a14:cameraTool cellRange="IMAGEM_PREFEITURA" spid="_x0000_s26936"/>
                </a:ext>
              </a:extLst>
            </xdr:cNvPicPr>
          </xdr:nvPicPr>
          <xdr:blipFill>
            <a:blip xmlns:r="http://schemas.openxmlformats.org/officeDocument/2006/relationships" r:embed="rId1"/>
            <a:srcRect/>
            <a:stretch>
              <a:fillRect/>
            </a:stretch>
          </xdr:blipFill>
          <xdr:spPr bwMode="auto">
            <a:xfrm>
              <a:off x="9962030" y="56030"/>
              <a:ext cx="649941" cy="700534"/>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6.xml><?xml version="1.0" encoding="utf-8"?>
<xdr:wsDr xmlns:xdr="http://schemas.openxmlformats.org/drawingml/2006/spreadsheetDrawing" xmlns:a="http://schemas.openxmlformats.org/drawingml/2006/main">
  <xdr:oneCellAnchor>
    <xdr:from>
      <xdr:col>6</xdr:col>
      <xdr:colOff>28575</xdr:colOff>
      <xdr:row>16</xdr:row>
      <xdr:rowOff>195260</xdr:rowOff>
    </xdr:from>
    <xdr:ext cx="3924300" cy="441211"/>
    <mc:AlternateContent xmlns:mc="http://schemas.openxmlformats.org/markup-compatibility/2006" xmlns:a14="http://schemas.microsoft.com/office/drawing/2010/main">
      <mc:Choice Requires="a14">
        <xdr:sp macro="" textlink="">
          <xdr:nvSpPr>
            <xdr:cNvPr id="2" name="CaixaDeTexto 1">
              <a:extLst>
                <a:ext uri="{FF2B5EF4-FFF2-40B4-BE49-F238E27FC236}">
                  <a16:creationId xmlns:a16="http://schemas.microsoft.com/office/drawing/2014/main" id="{AAFBF171-E579-4CF5-A8E1-32D55C034B7B}"/>
                </a:ext>
              </a:extLst>
            </xdr:cNvPr>
            <xdr:cNvSpPr txBox="1"/>
          </xdr:nvSpPr>
          <xdr:spPr>
            <a:xfrm>
              <a:off x="2628900" y="3567110"/>
              <a:ext cx="3924300" cy="4412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14:m>
                <m:oMath xmlns:m="http://schemas.openxmlformats.org/officeDocument/2006/math">
                  <m:r>
                    <a:rPr lang="pt-BR" sz="1800" b="1" i="1">
                      <a:latin typeface="Cambria Math" panose="02040503050406030204" pitchFamily="18" charset="0"/>
                    </a:rPr>
                    <m:t>𝑩𝑫𝑰</m:t>
                  </m:r>
                  <m:r>
                    <a:rPr lang="pt-BR" sz="1800" b="1" i="1">
                      <a:latin typeface="Cambria Math" panose="02040503050406030204" pitchFamily="18" charset="0"/>
                    </a:rPr>
                    <m:t>=</m:t>
                  </m:r>
                  <m:d>
                    <m:dPr>
                      <m:begChr m:val="⌊"/>
                      <m:endChr m:val="⌋"/>
                      <m:ctrlPr>
                        <a:rPr lang="pt-BR" sz="1800" b="1" i="1">
                          <a:latin typeface="Cambria Math" panose="02040503050406030204" pitchFamily="18" charset="0"/>
                        </a:rPr>
                      </m:ctrlPr>
                    </m:dPr>
                    <m:e>
                      <m:f>
                        <m:fPr>
                          <m:ctrlPr>
                            <a:rPr lang="pt-BR" sz="1800" b="1" i="1">
                              <a:solidFill>
                                <a:schemeClr val="tx1"/>
                              </a:solidFill>
                              <a:effectLst/>
                              <a:latin typeface="Cambria Math" panose="02040503050406030204" pitchFamily="18" charset="0"/>
                              <a:ea typeface="+mn-ea"/>
                              <a:cs typeface="+mn-cs"/>
                            </a:rPr>
                          </m:ctrlPr>
                        </m:fPr>
                        <m:num>
                          <m:d>
                            <m:dPr>
                              <m:ctrlPr>
                                <a:rPr lang="pt-BR" sz="1800" b="1" i="1">
                                  <a:solidFill>
                                    <a:schemeClr val="tx1"/>
                                  </a:solidFill>
                                  <a:effectLst/>
                                  <a:latin typeface="Cambria Math" panose="02040503050406030204" pitchFamily="18" charset="0"/>
                                  <a:ea typeface="+mn-ea"/>
                                  <a:cs typeface="+mn-cs"/>
                                </a:rPr>
                              </m:ctrlPr>
                            </m:dPr>
                            <m:e>
                              <m:r>
                                <a:rPr lang="pt-BR" sz="1800" b="1" i="1">
                                  <a:solidFill>
                                    <a:schemeClr val="tx1"/>
                                  </a:solidFill>
                                  <a:effectLst/>
                                  <a:latin typeface="Cambria Math" panose="02040503050406030204" pitchFamily="18" charset="0"/>
                                  <a:ea typeface="+mn-ea"/>
                                  <a:cs typeface="+mn-cs"/>
                                </a:rPr>
                                <m:t>𝟏</m:t>
                              </m:r>
                              <m:r>
                                <a:rPr lang="pt-BR" sz="1800" b="1" i="1">
                                  <a:solidFill>
                                    <a:schemeClr val="tx1"/>
                                  </a:solidFill>
                                  <a:effectLst/>
                                  <a:latin typeface="Cambria Math" panose="02040503050406030204" pitchFamily="18" charset="0"/>
                                  <a:ea typeface="+mn-ea"/>
                                  <a:cs typeface="+mn-cs"/>
                                </a:rPr>
                                <m:t>+</m:t>
                              </m:r>
                              <m:r>
                                <a:rPr lang="pt-BR" sz="1800" b="1" i="1">
                                  <a:solidFill>
                                    <a:schemeClr val="tx1"/>
                                  </a:solidFill>
                                  <a:effectLst/>
                                  <a:latin typeface="Cambria Math" panose="02040503050406030204" pitchFamily="18" charset="0"/>
                                  <a:ea typeface="+mn-ea"/>
                                  <a:cs typeface="+mn-cs"/>
                                </a:rPr>
                                <m:t>𝑨𝑪</m:t>
                              </m:r>
                              <m:r>
                                <a:rPr lang="pt-BR" sz="1800" b="1" i="1">
                                  <a:solidFill>
                                    <a:schemeClr val="tx1"/>
                                  </a:solidFill>
                                  <a:effectLst/>
                                  <a:latin typeface="Cambria Math" panose="02040503050406030204" pitchFamily="18" charset="0"/>
                                  <a:ea typeface="+mn-ea"/>
                                  <a:cs typeface="+mn-cs"/>
                                </a:rPr>
                                <m:t>+</m:t>
                              </m:r>
                              <m:r>
                                <a:rPr lang="pt-BR" sz="1800" b="1" i="1">
                                  <a:solidFill>
                                    <a:schemeClr val="tx1"/>
                                  </a:solidFill>
                                  <a:effectLst/>
                                  <a:latin typeface="Cambria Math" panose="02040503050406030204" pitchFamily="18" charset="0"/>
                                  <a:ea typeface="+mn-ea"/>
                                  <a:cs typeface="+mn-cs"/>
                                </a:rPr>
                                <m:t>𝑺</m:t>
                              </m:r>
                              <m:r>
                                <a:rPr lang="pt-BR" sz="1800" b="1" i="1">
                                  <a:solidFill>
                                    <a:schemeClr val="tx1"/>
                                  </a:solidFill>
                                  <a:effectLst/>
                                  <a:latin typeface="Cambria Math" panose="02040503050406030204" pitchFamily="18" charset="0"/>
                                  <a:ea typeface="+mn-ea"/>
                                  <a:cs typeface="+mn-cs"/>
                                </a:rPr>
                                <m:t>+</m:t>
                              </m:r>
                              <m:r>
                                <a:rPr lang="pt-BR" sz="1800" b="1" i="1">
                                  <a:solidFill>
                                    <a:schemeClr val="tx1"/>
                                  </a:solidFill>
                                  <a:effectLst/>
                                  <a:latin typeface="Cambria Math" panose="02040503050406030204" pitchFamily="18" charset="0"/>
                                  <a:ea typeface="+mn-ea"/>
                                  <a:cs typeface="+mn-cs"/>
                                </a:rPr>
                                <m:t>𝑹</m:t>
                              </m:r>
                              <m:r>
                                <a:rPr lang="pt-BR" sz="1800" b="1" i="1">
                                  <a:solidFill>
                                    <a:schemeClr val="tx1"/>
                                  </a:solidFill>
                                  <a:effectLst/>
                                  <a:latin typeface="Cambria Math" panose="02040503050406030204" pitchFamily="18" charset="0"/>
                                  <a:ea typeface="+mn-ea"/>
                                  <a:cs typeface="+mn-cs"/>
                                </a:rPr>
                                <m:t>+</m:t>
                              </m:r>
                              <m:r>
                                <a:rPr lang="pt-BR" sz="1800" b="1" i="1">
                                  <a:solidFill>
                                    <a:schemeClr val="tx1"/>
                                  </a:solidFill>
                                  <a:effectLst/>
                                  <a:latin typeface="Cambria Math" panose="02040503050406030204" pitchFamily="18" charset="0"/>
                                  <a:ea typeface="+mn-ea"/>
                                  <a:cs typeface="+mn-cs"/>
                                </a:rPr>
                                <m:t>𝑮</m:t>
                              </m:r>
                              <m:r>
                                <m:rPr>
                                  <m:nor/>
                                </m:rPr>
                                <a:rPr lang="pt-BR" sz="1800" b="1" i="1">
                                  <a:solidFill>
                                    <a:schemeClr val="tx1"/>
                                  </a:solidFill>
                                  <a:effectLst/>
                                  <a:latin typeface="+mn-lt"/>
                                  <a:ea typeface="+mn-ea"/>
                                  <a:cs typeface="+mn-cs"/>
                                </a:rPr>
                                <m:t> </m:t>
                              </m:r>
                            </m:e>
                          </m:d>
                          <m:d>
                            <m:dPr>
                              <m:ctrlPr>
                                <a:rPr lang="pt-BR" sz="1800" b="1" i="1">
                                  <a:solidFill>
                                    <a:schemeClr val="tx1"/>
                                  </a:solidFill>
                                  <a:effectLst/>
                                  <a:latin typeface="Cambria Math" panose="02040503050406030204" pitchFamily="18" charset="0"/>
                                  <a:ea typeface="+mn-ea"/>
                                  <a:cs typeface="+mn-cs"/>
                                </a:rPr>
                              </m:ctrlPr>
                            </m:dPr>
                            <m:e>
                              <m:r>
                                <a:rPr lang="pt-BR" sz="1800" b="1" i="1">
                                  <a:solidFill>
                                    <a:schemeClr val="tx1"/>
                                  </a:solidFill>
                                  <a:effectLst/>
                                  <a:latin typeface="Cambria Math" panose="02040503050406030204" pitchFamily="18" charset="0"/>
                                  <a:ea typeface="+mn-ea"/>
                                  <a:cs typeface="+mn-cs"/>
                                </a:rPr>
                                <m:t>𝟏</m:t>
                              </m:r>
                              <m:r>
                                <a:rPr lang="pt-BR" sz="1800" b="1" i="1">
                                  <a:solidFill>
                                    <a:schemeClr val="tx1"/>
                                  </a:solidFill>
                                  <a:effectLst/>
                                  <a:latin typeface="Cambria Math" panose="02040503050406030204" pitchFamily="18" charset="0"/>
                                  <a:ea typeface="+mn-ea"/>
                                  <a:cs typeface="+mn-cs"/>
                                </a:rPr>
                                <m:t>+</m:t>
                              </m:r>
                              <m:r>
                                <a:rPr lang="pt-BR" sz="1800" b="1" i="1">
                                  <a:solidFill>
                                    <a:schemeClr val="tx1"/>
                                  </a:solidFill>
                                  <a:effectLst/>
                                  <a:latin typeface="Cambria Math" panose="02040503050406030204" pitchFamily="18" charset="0"/>
                                  <a:ea typeface="+mn-ea"/>
                                  <a:cs typeface="+mn-cs"/>
                                </a:rPr>
                                <m:t>𝑫𝑭</m:t>
                              </m:r>
                              <m:r>
                                <a:rPr lang="pt-BR" sz="1800" b="1" i="1">
                                  <a:solidFill>
                                    <a:schemeClr val="tx1"/>
                                  </a:solidFill>
                                  <a:effectLst/>
                                  <a:latin typeface="Cambria Math" panose="02040503050406030204" pitchFamily="18" charset="0"/>
                                  <a:ea typeface="+mn-ea"/>
                                  <a:cs typeface="+mn-cs"/>
                                </a:rPr>
                                <m:t>)</m:t>
                              </m:r>
                            </m:e>
                          </m:d>
                          <m:d>
                            <m:dPr>
                              <m:ctrlPr>
                                <a:rPr lang="pt-BR" sz="1800" b="1" i="1">
                                  <a:solidFill>
                                    <a:schemeClr val="tx1"/>
                                  </a:solidFill>
                                  <a:effectLst/>
                                  <a:latin typeface="Cambria Math" panose="02040503050406030204" pitchFamily="18" charset="0"/>
                                  <a:ea typeface="+mn-ea"/>
                                  <a:cs typeface="+mn-cs"/>
                                </a:rPr>
                              </m:ctrlPr>
                            </m:dPr>
                            <m:e>
                              <m:r>
                                <a:rPr lang="pt-BR" sz="1800" b="1" i="1">
                                  <a:solidFill>
                                    <a:schemeClr val="tx1"/>
                                  </a:solidFill>
                                  <a:effectLst/>
                                  <a:latin typeface="Cambria Math" panose="02040503050406030204" pitchFamily="18" charset="0"/>
                                  <a:ea typeface="+mn-ea"/>
                                  <a:cs typeface="+mn-cs"/>
                                </a:rPr>
                                <m:t>𝟏</m:t>
                              </m:r>
                              <m:r>
                                <a:rPr lang="pt-BR" sz="1800" b="1" i="1">
                                  <a:solidFill>
                                    <a:schemeClr val="tx1"/>
                                  </a:solidFill>
                                  <a:effectLst/>
                                  <a:latin typeface="Cambria Math" panose="02040503050406030204" pitchFamily="18" charset="0"/>
                                  <a:ea typeface="+mn-ea"/>
                                  <a:cs typeface="+mn-cs"/>
                                </a:rPr>
                                <m:t>+</m:t>
                              </m:r>
                              <m:r>
                                <a:rPr lang="pt-BR" sz="1800" b="1" i="1">
                                  <a:solidFill>
                                    <a:schemeClr val="tx1"/>
                                  </a:solidFill>
                                  <a:effectLst/>
                                  <a:latin typeface="Cambria Math" panose="02040503050406030204" pitchFamily="18" charset="0"/>
                                  <a:ea typeface="+mn-ea"/>
                                  <a:cs typeface="+mn-cs"/>
                                </a:rPr>
                                <m:t>𝑳</m:t>
                              </m:r>
                            </m:e>
                          </m:d>
                          <m:r>
                            <m:rPr>
                              <m:nor/>
                            </m:rPr>
                            <a:rPr lang="pt-BR" sz="1800" b="1" i="1">
                              <a:solidFill>
                                <a:schemeClr val="tx1"/>
                              </a:solidFill>
                              <a:effectLst/>
                              <a:latin typeface="+mn-lt"/>
                              <a:ea typeface="+mn-ea"/>
                              <a:cs typeface="+mn-cs"/>
                            </a:rPr>
                            <m:t> </m:t>
                          </m:r>
                        </m:num>
                        <m:den>
                          <m:d>
                            <m:dPr>
                              <m:ctrlPr>
                                <a:rPr lang="pt-BR" sz="1800" b="1" i="1">
                                  <a:solidFill>
                                    <a:schemeClr val="tx1"/>
                                  </a:solidFill>
                                  <a:effectLst/>
                                  <a:latin typeface="Cambria Math" panose="02040503050406030204" pitchFamily="18" charset="0"/>
                                  <a:ea typeface="+mn-ea"/>
                                  <a:cs typeface="+mn-cs"/>
                                </a:rPr>
                              </m:ctrlPr>
                            </m:dPr>
                            <m:e>
                              <m:r>
                                <a:rPr lang="pt-BR" sz="1800" b="1" i="1">
                                  <a:solidFill>
                                    <a:schemeClr val="tx1"/>
                                  </a:solidFill>
                                  <a:effectLst/>
                                  <a:latin typeface="Cambria Math" panose="02040503050406030204" pitchFamily="18" charset="0"/>
                                  <a:ea typeface="+mn-ea"/>
                                  <a:cs typeface="+mn-cs"/>
                                </a:rPr>
                                <m:t>𝟏</m:t>
                              </m:r>
                              <m:r>
                                <a:rPr lang="pt-BR" sz="1800" b="1" i="1">
                                  <a:solidFill>
                                    <a:schemeClr val="tx1"/>
                                  </a:solidFill>
                                  <a:effectLst/>
                                  <a:latin typeface="Cambria Math" panose="02040503050406030204" pitchFamily="18" charset="0"/>
                                  <a:ea typeface="+mn-ea"/>
                                  <a:cs typeface="+mn-cs"/>
                                </a:rPr>
                                <m:t>−</m:t>
                              </m:r>
                              <m:r>
                                <a:rPr lang="pt-BR" sz="1800" b="1" i="1">
                                  <a:solidFill>
                                    <a:schemeClr val="tx1"/>
                                  </a:solidFill>
                                  <a:effectLst/>
                                  <a:latin typeface="Cambria Math" panose="02040503050406030204" pitchFamily="18" charset="0"/>
                                  <a:ea typeface="+mn-ea"/>
                                  <a:cs typeface="+mn-cs"/>
                                </a:rPr>
                                <m:t>𝑰</m:t>
                              </m:r>
                            </m:e>
                          </m:d>
                        </m:den>
                      </m:f>
                      <m:r>
                        <m:rPr>
                          <m:nor/>
                        </m:rPr>
                        <a:rPr lang="pt-BR" sz="1800" b="1" i="1">
                          <a:effectLst/>
                        </a:rPr>
                        <m:t> </m:t>
                      </m:r>
                    </m:e>
                  </m:d>
                </m:oMath>
              </a14:m>
              <a:r>
                <a:rPr lang="pt-BR" sz="1800" b="1" i="1"/>
                <a:t>-1</a:t>
              </a:r>
            </a:p>
          </xdr:txBody>
        </xdr:sp>
      </mc:Choice>
      <mc:Fallback xmlns="">
        <xdr:sp macro="" textlink="">
          <xdr:nvSpPr>
            <xdr:cNvPr id="2" name="CaixaDeTexto 1">
              <a:extLst>
                <a:ext uri="{FF2B5EF4-FFF2-40B4-BE49-F238E27FC236}">
                  <a16:creationId xmlns:a16="http://schemas.microsoft.com/office/drawing/2014/main" id="{AAFBF171-E579-4CF5-A8E1-32D55C034B7B}"/>
                </a:ext>
              </a:extLst>
            </xdr:cNvPr>
            <xdr:cNvSpPr txBox="1"/>
          </xdr:nvSpPr>
          <xdr:spPr>
            <a:xfrm>
              <a:off x="2628900" y="3567110"/>
              <a:ext cx="3924300" cy="4412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pt-BR" sz="1800" b="1" i="0">
                  <a:latin typeface="Cambria Math" panose="02040503050406030204" pitchFamily="18" charset="0"/>
                </a:rPr>
                <a:t>𝑩𝑫𝑰=⌊</a:t>
              </a:r>
              <a:r>
                <a:rPr lang="pt-BR" sz="1800" b="1" i="0">
                  <a:solidFill>
                    <a:schemeClr val="tx1"/>
                  </a:solidFill>
                  <a:effectLst/>
                  <a:latin typeface="Cambria Math" panose="02040503050406030204" pitchFamily="18" charset="0"/>
                  <a:ea typeface="+mn-ea"/>
                  <a:cs typeface="+mn-cs"/>
                </a:rPr>
                <a:t>(𝟏+𝑨𝑪+𝑺+𝑹+𝑮</a:t>
              </a:r>
              <a:r>
                <a:rPr lang="pt-BR" sz="1800" b="1" i="0">
                  <a:solidFill>
                    <a:schemeClr val="tx1"/>
                  </a:solidFill>
                  <a:effectLst/>
                  <a:latin typeface="+mn-lt"/>
                  <a:ea typeface="+mn-ea"/>
                  <a:cs typeface="+mn-cs"/>
                </a:rPr>
                <a:t>" </a:t>
              </a:r>
              <a:r>
                <a:rPr lang="pt-BR" sz="1800" b="1" i="0">
                  <a:solidFill>
                    <a:schemeClr val="tx1"/>
                  </a:solidFill>
                  <a:effectLst/>
                  <a:latin typeface="Cambria Math" panose="02040503050406030204" pitchFamily="18" charset="0"/>
                  <a:ea typeface="+mn-ea"/>
                  <a:cs typeface="+mn-cs"/>
                </a:rPr>
                <a:t>" )(𝟏+𝑫𝑭))(𝟏+𝑳)</a:t>
              </a:r>
              <a:r>
                <a:rPr lang="pt-BR" sz="1800" b="1" i="0">
                  <a:solidFill>
                    <a:schemeClr val="tx1"/>
                  </a:solidFill>
                  <a:effectLst/>
                  <a:latin typeface="+mn-lt"/>
                  <a:ea typeface="+mn-ea"/>
                  <a:cs typeface="+mn-cs"/>
                </a:rPr>
                <a:t>" </a:t>
              </a:r>
              <a:r>
                <a:rPr lang="pt-BR" sz="1800" b="1" i="0">
                  <a:solidFill>
                    <a:schemeClr val="tx1"/>
                  </a:solidFill>
                  <a:effectLst/>
                  <a:latin typeface="Cambria Math" panose="02040503050406030204" pitchFamily="18" charset="0"/>
                  <a:ea typeface="+mn-ea"/>
                  <a:cs typeface="+mn-cs"/>
                </a:rPr>
                <a:t>" /((𝟏−𝑰) ) "</a:t>
              </a:r>
              <a:r>
                <a:rPr lang="pt-BR" sz="1800" b="1" i="0">
                  <a:effectLst/>
                </a:rPr>
                <a:t> </a:t>
              </a:r>
              <a:r>
                <a:rPr lang="pt-BR" sz="1800" b="1" i="0">
                  <a:effectLst/>
                  <a:latin typeface="Cambria Math" panose="02040503050406030204" pitchFamily="18" charset="0"/>
                </a:rPr>
                <a:t>" ⌋</a:t>
              </a:r>
              <a:r>
                <a:rPr lang="pt-BR" sz="1800" b="1" i="1"/>
                <a:t>-1</a:t>
              </a:r>
            </a:p>
          </xdr:txBody>
        </xdr:sp>
      </mc:Fallback>
    </mc:AlternateContent>
    <xdr:clientData/>
  </xdr:oneCellAnchor>
  <mc:AlternateContent xmlns:mc="http://schemas.openxmlformats.org/markup-compatibility/2006">
    <mc:Choice xmlns:a14="http://schemas.microsoft.com/office/drawing/2010/main" Requires="a14">
      <xdr:twoCellAnchor editAs="oneCell">
        <xdr:from>
          <xdr:col>26</xdr:col>
          <xdr:colOff>1</xdr:colOff>
          <xdr:row>0</xdr:row>
          <xdr:rowOff>28575</xdr:rowOff>
        </xdr:from>
        <xdr:to>
          <xdr:col>26</xdr:col>
          <xdr:colOff>609601</xdr:colOff>
          <xdr:row>0</xdr:row>
          <xdr:rowOff>688593</xdr:rowOff>
        </xdr:to>
        <xdr:pic>
          <xdr:nvPicPr>
            <xdr:cNvPr id="4" name="Imagem 3">
              <a:extLst>
                <a:ext uri="{FF2B5EF4-FFF2-40B4-BE49-F238E27FC236}">
                  <a16:creationId xmlns:a16="http://schemas.microsoft.com/office/drawing/2014/main" id="{39E72124-E9C2-426E-BCA7-490D88ACCE2F}"/>
                </a:ext>
              </a:extLst>
            </xdr:cNvPr>
            <xdr:cNvPicPr>
              <a:picLocks noChangeAspect="1" noChangeArrowheads="1"/>
              <a:extLst>
                <a:ext uri="{84589F7E-364E-4C9E-8A38-B11213B215E9}">
                  <a14:cameraTool cellRange="IMAGEM_PREFEITURA" spid="_x0000_s30899"/>
                </a:ext>
              </a:extLst>
            </xdr:cNvPicPr>
          </xdr:nvPicPr>
          <xdr:blipFill>
            <a:blip xmlns:r="http://schemas.openxmlformats.org/officeDocument/2006/relationships" r:embed="rId1"/>
            <a:srcRect/>
            <a:stretch>
              <a:fillRect/>
            </a:stretch>
          </xdr:blipFill>
          <xdr:spPr bwMode="auto">
            <a:xfrm>
              <a:off x="8010526" y="28575"/>
              <a:ext cx="609600" cy="660018"/>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493059</xdr:colOff>
          <xdr:row>0</xdr:row>
          <xdr:rowOff>112058</xdr:rowOff>
        </xdr:from>
        <xdr:to>
          <xdr:col>8</xdr:col>
          <xdr:colOff>1402017</xdr:colOff>
          <xdr:row>0</xdr:row>
          <xdr:rowOff>1091772</xdr:rowOff>
        </xdr:to>
        <xdr:pic>
          <xdr:nvPicPr>
            <xdr:cNvPr id="2" name="Imagem 1">
              <a:extLst>
                <a:ext uri="{FF2B5EF4-FFF2-40B4-BE49-F238E27FC236}">
                  <a16:creationId xmlns:a16="http://schemas.microsoft.com/office/drawing/2014/main" id="{BADCA7FD-BE4C-431F-B2A9-3C65824B8B60}"/>
                </a:ext>
              </a:extLst>
            </xdr:cNvPr>
            <xdr:cNvPicPr>
              <a:picLocks noChangeAspect="1" noChangeArrowheads="1"/>
              <a:extLst>
                <a:ext uri="{84589F7E-364E-4C9E-8A38-B11213B215E9}">
                  <a14:cameraTool cellRange="IMAGEM_PREFEITURA" spid="_x0000_s32932"/>
                </a:ext>
              </a:extLst>
            </xdr:cNvPicPr>
          </xdr:nvPicPr>
          <xdr:blipFill>
            <a:blip xmlns:r="http://schemas.openxmlformats.org/officeDocument/2006/relationships" r:embed="rId1"/>
            <a:srcRect/>
            <a:stretch>
              <a:fillRect/>
            </a:stretch>
          </xdr:blipFill>
          <xdr:spPr bwMode="auto">
            <a:xfrm>
              <a:off x="13155706" y="112058"/>
              <a:ext cx="908958" cy="979714"/>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1211283</xdr:colOff>
          <xdr:row>0</xdr:row>
          <xdr:rowOff>69272</xdr:rowOff>
        </xdr:from>
        <xdr:to>
          <xdr:col>9</xdr:col>
          <xdr:colOff>492332</xdr:colOff>
          <xdr:row>0</xdr:row>
          <xdr:rowOff>1048986</xdr:rowOff>
        </xdr:to>
        <xdr:pic>
          <xdr:nvPicPr>
            <xdr:cNvPr id="2" name="Imagem 1">
              <a:extLst>
                <a:ext uri="{FF2B5EF4-FFF2-40B4-BE49-F238E27FC236}">
                  <a16:creationId xmlns:a16="http://schemas.microsoft.com/office/drawing/2014/main" id="{164A1099-5F0F-4117-8B40-57F161F15EF4}"/>
                </a:ext>
              </a:extLst>
            </xdr:cNvPr>
            <xdr:cNvPicPr>
              <a:picLocks noChangeAspect="1" noChangeArrowheads="1"/>
              <a:extLst>
                <a:ext uri="{84589F7E-364E-4C9E-8A38-B11213B215E9}">
                  <a14:cameraTool cellRange="IMAGEM_PREFEITURA" spid="_x0000_s43014"/>
                </a:ext>
              </a:extLst>
            </xdr:cNvPicPr>
          </xdr:nvPicPr>
          <xdr:blipFill>
            <a:blip xmlns:r="http://schemas.openxmlformats.org/officeDocument/2006/relationships" r:embed="rId1"/>
            <a:srcRect/>
            <a:stretch>
              <a:fillRect/>
            </a:stretch>
          </xdr:blipFill>
          <xdr:spPr bwMode="auto">
            <a:xfrm>
              <a:off x="16884238" y="69272"/>
              <a:ext cx="908958" cy="979714"/>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Windows\Desktop\PLN_EXE_ORC_TJMMG_CP_0101_REV07.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Windows\Documents\OR&#199;AMENTOS%20QUADOO\4.%20OR&#199;AMENTO%20TJMMG\3.%20Or&#231;amento\QUADOO_FACC_LABORAT&#211;RIO_ORC_N&#195;O%20DESONERADA_00.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Windows\Documents\OR&#199;AMENTOS%20QUADOO\4.%20OR&#199;AMENTO%20TJMMG\4.%20Or&#231;amento\OBSOLETO.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Windows\Documents\OR&#199;AMENTOS%20QUADOO\4.%20OR&#199;AMENTO%20TJMMG\4.%20Or&#231;amento\REV02\N&#227;o%20Desonerada\QUADOO_TJMMG_LABORAT&#211;RIO_ORC_N&#195;O%20DESONERADA_03.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Windows\Documents\OR&#199;AMENTOS%20QUADOO\4.%20OR&#199;AMENTO%20TJMMG\1a%20ETAPA\4.%20Or&#231;amento\REV02\N&#227;o%20Desonerada\QUADOO_TJMMG_LABORAT&#211;RIO_ORC_N&#195;O%20DESONERADA_03.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Windows\Documents\OR&#199;AMENTOS%20QUADOO\4.%20OR&#199;AMENTO%20TJMMG%20-%20aprovado\2a%20ETAPA\4.%20Or&#231;amento\QUADOO_TJMMG_REFORMA_ORC_N&#195;O%20DESONERADA_A%20AN&#193;LISE%20TJ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pa"/>
      <sheetName val="Memorial"/>
      <sheetName val="Anotações"/>
      <sheetName val="Resumo"/>
      <sheetName val="Orçamento"/>
      <sheetName val="Curva ABC"/>
      <sheetName val="Cronograma"/>
      <sheetName val="BDI"/>
      <sheetName val="Composições"/>
      <sheetName val="Cotação"/>
      <sheetName val="Suporte"/>
      <sheetName val="Imagens"/>
      <sheetName val="Banco_Servico"/>
      <sheetName val="Planilha5"/>
      <sheetName val="SETOP PREDIAL"/>
      <sheetName val="Planilha6"/>
      <sheetName val="SETOP INFRA"/>
      <sheetName val="Banco_Insumo"/>
      <sheetName val="Curva_Servico"/>
    </sheetNames>
    <sheetDataSet>
      <sheetData sheetId="0"/>
      <sheetData sheetId="1"/>
      <sheetData sheetId="2"/>
      <sheetData sheetId="3">
        <row r="1">
          <cell r="N1" t="str">
            <v>NÃO DESONERADA</v>
          </cell>
        </row>
        <row r="2">
          <cell r="B2" t="str">
            <v>TRIBUNAL DE JUSTIÇA MILITAR DE MINAS GERAIS</v>
          </cell>
        </row>
        <row r="3">
          <cell r="B3" t="str">
            <v>OBJETIVA PROJETOS E SERVIÇOS LTDA.</v>
          </cell>
        </row>
      </sheetData>
      <sheetData sheetId="4"/>
      <sheetData sheetId="5"/>
      <sheetData sheetId="6"/>
      <sheetData sheetId="7"/>
      <sheetData sheetId="8"/>
      <sheetData sheetId="9"/>
      <sheetData sheetId="10"/>
      <sheetData sheetId="11">
        <row r="1">
          <cell r="A1" t="str">
            <v>PROJETA CONSULTORIA E SERVIÇOS LTDA.</v>
          </cell>
        </row>
        <row r="2">
          <cell r="A2" t="str">
            <v>OBJETIVA PROJETOS E SERVIÇOS LTDA.</v>
          </cell>
        </row>
        <row r="3">
          <cell r="A3" t="str">
            <v>PLATOR PROJETOS E SERVIÇOS AMBIENTAIS LTDA.</v>
          </cell>
        </row>
        <row r="4">
          <cell r="A4" t="str">
            <v>CONSÓRCIO PAS</v>
          </cell>
        </row>
        <row r="5">
          <cell r="A5" t="str">
            <v>CONSÓRCIO PITÁGORAS</v>
          </cell>
        </row>
        <row r="6">
          <cell r="A6" t="str">
            <v>CONSÓRCIO OPUS PROJETOS</v>
          </cell>
        </row>
        <row r="7">
          <cell r="A7" t="str">
            <v>CONSÓRCIO MINAS PROJETOS</v>
          </cell>
        </row>
        <row r="17">
          <cell r="G17" t="str">
            <v>PREFEITURA MUNICIPAL DE ALFENAS - MG</v>
          </cell>
        </row>
        <row r="18">
          <cell r="G18" t="str">
            <v>PREFEITURA MUNICIPAL DE ALMENARA -MG</v>
          </cell>
        </row>
        <row r="19">
          <cell r="G19" t="str">
            <v>PREFEITURA MUNICIPAL DE ALVORADA DE MINAS - MG</v>
          </cell>
        </row>
        <row r="20">
          <cell r="G20" t="str">
            <v>PREFEITURA MUNICPAL DE ANAPOLIS - MG</v>
          </cell>
        </row>
        <row r="21">
          <cell r="G21" t="str">
            <v>PREFEITURA MUNICIPAL DE ARAGUARI - MG</v>
          </cell>
        </row>
        <row r="22">
          <cell r="G22" t="str">
            <v>PREFEITURA MUNICIPAL DE ARAXÁ- MG</v>
          </cell>
        </row>
        <row r="23">
          <cell r="G23" t="str">
            <v>PREFEITURA MUNICIPAL DE BARÃO DE COCAIS - MG</v>
          </cell>
        </row>
        <row r="24">
          <cell r="G24" t="str">
            <v>PREFEITURA MUNICIPAL DE BELA VISTA DE MINAS-MG</v>
          </cell>
        </row>
        <row r="25">
          <cell r="G25" t="str">
            <v>PREFEITURA MUNICIPAL DE BELO VALE - MG</v>
          </cell>
        </row>
        <row r="26">
          <cell r="G26" t="str">
            <v>PREFEITURA MUNICIPAL DE BOA ESPERANÇA- MG</v>
          </cell>
        </row>
        <row r="27">
          <cell r="G27" t="str">
            <v>PREFEITURA MUNICIPAL DE BOM DESPACHO - MG</v>
          </cell>
        </row>
        <row r="28">
          <cell r="G28" t="str">
            <v>PREFEITURA MUNICIPAL DE BONFIM - MG</v>
          </cell>
        </row>
        <row r="29">
          <cell r="G29" t="str">
            <v>CAMARA MUNICIPAL DE BRUMADINHO - MG</v>
          </cell>
        </row>
        <row r="30">
          <cell r="G30" t="str">
            <v>PREFEITURA MUNICIPAL DE CAMPANHA-MG</v>
          </cell>
        </row>
        <row r="31">
          <cell r="G31" t="str">
            <v xml:space="preserve">PREFEITURA MUNICPAL DE CAMPOS ALTOS -MG </v>
          </cell>
        </row>
        <row r="32">
          <cell r="G32" t="str">
            <v>CAEMA - MA</v>
          </cell>
        </row>
        <row r="33">
          <cell r="G33" t="str">
            <v>CEASA - MG</v>
          </cell>
        </row>
        <row r="34">
          <cell r="G34" t="str">
            <v>CAMARA MUNICIPAL DE BRUMADINHO - MG</v>
          </cell>
        </row>
        <row r="35">
          <cell r="G35" t="str">
            <v>CODEMGE</v>
          </cell>
        </row>
        <row r="36">
          <cell r="G36" t="str">
            <v>PREFEITURA MUNICIPAL DE CARMÓPOLIS DE MINAS - MG</v>
          </cell>
        </row>
        <row r="37">
          <cell r="G37" t="str">
            <v xml:space="preserve">PREFEITURA MUNICIPAL DE CARVOLHOPOLIS- MG </v>
          </cell>
        </row>
        <row r="38">
          <cell r="G38" t="str">
            <v>PREFEITURA MUNICIPAL DE CONCEIÇÃO DO MATO DENTRO - MG</v>
          </cell>
        </row>
        <row r="39">
          <cell r="G39" t="str">
            <v>PREFEITURA MUNICPAL DE CACHOEIRA DA PRATA- MG</v>
          </cell>
        </row>
        <row r="40">
          <cell r="G40" t="str">
            <v>PREFEITURA MUNICPAL DE CONCEIÇÃO DO PARÁ-MG</v>
          </cell>
        </row>
        <row r="41">
          <cell r="G41" t="str">
            <v>PREFEITURA MUNICIPAL DE CONSELHEIRO LAFAIETE-MG</v>
          </cell>
        </row>
        <row r="42">
          <cell r="G42" t="str">
            <v>PREFEITURA MUNICIPAL DE CONGONHAS - MG</v>
          </cell>
        </row>
        <row r="43">
          <cell r="G43" t="str">
            <v>DEPARTAMENTO DE EDIFICAÇÕES E DE RODOVIAS DO ESPIRITO SANTO DER/ES</v>
          </cell>
        </row>
        <row r="44">
          <cell r="G44" t="str">
            <v>DEER - MG</v>
          </cell>
        </row>
        <row r="45">
          <cell r="G45" t="str">
            <v>PREFEITURA MUNICIPAL DE DOM JOAQUIM - MG</v>
          </cell>
        </row>
        <row r="46">
          <cell r="G46" t="str">
            <v>PREFEITURA MUNICIPAL DE ENTRE RIOS DE MINAS - MG</v>
          </cell>
        </row>
        <row r="47">
          <cell r="G47" t="str">
            <v>PREFEITURA MUNICIPAL DE ELÓI MENDES-MG</v>
          </cell>
        </row>
        <row r="48">
          <cell r="G48" t="str">
            <v>PREFEITURA MUNICIPAL DE FERROS - MG</v>
          </cell>
        </row>
        <row r="49">
          <cell r="G49" t="str">
            <v>INSTITUTO FEDERAL DE MINAS GERAIS - SUDESTE</v>
          </cell>
        </row>
        <row r="50">
          <cell r="G50" t="str">
            <v>INSTITUTO FEDERAL DE MINAS GERAIS</v>
          </cell>
        </row>
        <row r="51">
          <cell r="G51" t="str">
            <v xml:space="preserve">PREFEITURA MUNICIPAL DE GOIANIA </v>
          </cell>
        </row>
        <row r="52">
          <cell r="G52" t="str">
            <v>PREFEITURA MUNICIPAL DE GUANHÃES-MG</v>
          </cell>
        </row>
        <row r="53">
          <cell r="G53" t="str">
            <v>PREFEITURA MUNICIPAL DE GUIMARÂNIA-MG</v>
          </cell>
        </row>
        <row r="54">
          <cell r="G54" t="str">
            <v>PREFEITURA MUNICIPAL DE ITAPEMIRIM-MG</v>
          </cell>
        </row>
        <row r="55">
          <cell r="G55" t="str">
            <v>PREFEITURA MUNICIPAL DE ITAGUARA-MG</v>
          </cell>
        </row>
        <row r="56">
          <cell r="G56" t="str">
            <v>PREFEITURA MUNICIPAL DE ILICÍNIA-MG</v>
          </cell>
        </row>
        <row r="57">
          <cell r="G57" t="str">
            <v>PREFEITURA MUNICIPAL DE ITUMIRIM-MG</v>
          </cell>
        </row>
        <row r="58">
          <cell r="G58" t="str">
            <v>PREFEITURA MUNICIPAL DE IGARAPÉ - MG</v>
          </cell>
        </row>
        <row r="59">
          <cell r="G59" t="str">
            <v>PREFEITURA MUNICIPAL DE ILHÉUS - BA</v>
          </cell>
        </row>
        <row r="60">
          <cell r="G60" t="str">
            <v>PREFEITURA MUNICIPAL DE ITATIAIUÇU - MG</v>
          </cell>
        </row>
        <row r="61">
          <cell r="G61" t="str">
            <v>PREFEITURA MUNICIPAL DE JABOTICATUBAS - MG</v>
          </cell>
        </row>
        <row r="62">
          <cell r="G62" t="str">
            <v>PREFEITURA MUNICIPAL DE JOÃO MONLEVADE-MG</v>
          </cell>
        </row>
        <row r="63">
          <cell r="G63" t="str">
            <v>PREFEITURA MUNICIPAL DE LAGOA GRANDE</v>
          </cell>
        </row>
        <row r="64">
          <cell r="G64" t="str">
            <v>PREFEITURA MUNICIPAL DE LAGOA SANTA - MG</v>
          </cell>
        </row>
        <row r="65">
          <cell r="G65" t="str">
            <v>PREFEITURA MUNICIPAL DE MARIANA - MG</v>
          </cell>
        </row>
        <row r="66">
          <cell r="G66" t="str">
            <v>PREFEITURA MUNICIPAL DE MACHADO-MG</v>
          </cell>
        </row>
        <row r="67">
          <cell r="G67" t="str">
            <v>PREFEITURA MUNICIPAL DE MÁRIO CAMPOS - MG</v>
          </cell>
        </row>
        <row r="68">
          <cell r="G68" t="str">
            <v>PREFEITURA MUNICIPAL DE MARTINHO CAMPOS-MG</v>
          </cell>
        </row>
        <row r="69">
          <cell r="G69" t="str">
            <v>PREFEITURA MUNICIPAL DE MATEUS LEME - MG</v>
          </cell>
        </row>
        <row r="70">
          <cell r="G70" t="str">
            <v>PREFEITURA MUNICIPAL DE MOEMA-MG</v>
          </cell>
        </row>
        <row r="71">
          <cell r="G71" t="str">
            <v>PREFEITURA MUNICIPAL DE MONSENHOR PAULO - MG</v>
          </cell>
        </row>
        <row r="72">
          <cell r="G72" t="str">
            <v>PREFEITURA MUNICIPAL DE OURO BRANCO - MG</v>
          </cell>
        </row>
        <row r="73">
          <cell r="G73" t="str">
            <v>PREFEITURA MUNICIPAL DE OURO PRETO - MG</v>
          </cell>
        </row>
        <row r="74">
          <cell r="G74" t="str">
            <v>PREFEITURA MUNICIPAL DE PARAGUAÇU-MG</v>
          </cell>
        </row>
        <row r="75">
          <cell r="G75" t="str">
            <v>PREFEITURA MUNICIPAL DE PIEDADE DOS GERAIS - MG</v>
          </cell>
        </row>
        <row r="76">
          <cell r="G76" t="str">
            <v>PREFEITURA MUNICIPAL DE PARACATU - MG</v>
          </cell>
        </row>
        <row r="77">
          <cell r="G77" t="str">
            <v>PREFEITURA MUNICIPAL DE PATOS DE MINAS - MG</v>
          </cell>
        </row>
        <row r="78">
          <cell r="G78" t="str">
            <v>PREFEITURA MUNICIPAL DE PERDÕES-MG</v>
          </cell>
        </row>
        <row r="79">
          <cell r="G79" t="str">
            <v>PREFEITURA MUNICIPAL DE POÇO FUNDO -MG</v>
          </cell>
        </row>
        <row r="80">
          <cell r="G80" t="str">
            <v>POLÍCIA MILITAR DE MINAS GERAIS</v>
          </cell>
        </row>
        <row r="81">
          <cell r="G81" t="str">
            <v>PREFEITURA MUNICIPAL DE RIO VERMELHO-MG</v>
          </cell>
        </row>
        <row r="82">
          <cell r="G82" t="str">
            <v>PREFEITURA MUNICIPAL DE RIBEIRÃO DAS NEVES-MG</v>
          </cell>
        </row>
        <row r="83">
          <cell r="G83" t="str">
            <v>PREFEITURA MUNICIPAL DE RIO BANANAL - ES</v>
          </cell>
        </row>
        <row r="84">
          <cell r="G84" t="str">
            <v>PREFEITURA MUNICIPAL DE SANTA BÁRBARA - MG</v>
          </cell>
        </row>
        <row r="85">
          <cell r="G85" t="str">
            <v>PREFEITURA MUNICIPAL DE SÃO JOAQUIM DE BICAS - MG</v>
          </cell>
        </row>
        <row r="86">
          <cell r="G86" t="str">
            <v>PREFEITURA MUNICIPAL DE SÃO GONÇALO DO RIO ABAIXO-MG</v>
          </cell>
        </row>
        <row r="87">
          <cell r="G87" t="str">
            <v>PREFEITURA MUNICIPAL DE SÃO SEBASTIÃO DO OESTE-MG</v>
          </cell>
        </row>
        <row r="88">
          <cell r="G88" t="str">
            <v>PREFEITURA MUNICIPAL DE SÃO JOSÉ DA LAPA - MG</v>
          </cell>
        </row>
        <row r="89">
          <cell r="G89" t="str">
            <v>PREFEITURA MUNICIPAL DE SÃO LUÍS - MA</v>
          </cell>
        </row>
        <row r="90">
          <cell r="G90" t="str">
            <v>PREFEITURA MUNICIPAL DE SARZEDO - MG</v>
          </cell>
        </row>
        <row r="91">
          <cell r="G91" t="str">
            <v>PREFEITURA MUNICIPAL DE SERRA - ES</v>
          </cell>
        </row>
        <row r="92">
          <cell r="G92" t="str">
            <v>PREFEITURA MUNICIPAL DE SERRANIA - MG</v>
          </cell>
        </row>
        <row r="93">
          <cell r="G93" t="str">
            <v>PREFEITURA MUNICIPAL DE SERRO - MG</v>
          </cell>
        </row>
        <row r="94">
          <cell r="G94" t="str">
            <v>PREFEITURA MUNICIPAL DE SETE LAGOAS - MG</v>
          </cell>
        </row>
        <row r="95">
          <cell r="G95" t="str">
            <v>SECRETARIA DE SEGURANÇA PÚBLICA DO ESPÍRITO SANTO</v>
          </cell>
        </row>
        <row r="96">
          <cell r="G96" t="str">
            <v>SEST SENAT</v>
          </cell>
        </row>
        <row r="97">
          <cell r="G97" t="str">
            <v>PREFEITURA MUNICIPAL DE TRÊS PONTAS-MG</v>
          </cell>
        </row>
        <row r="98">
          <cell r="G98" t="str">
            <v>TRIBUNAL DE JUSTIÇA MILITAR DE MINAS GERAIS</v>
          </cell>
        </row>
        <row r="99">
          <cell r="G99" t="str">
            <v>TRIBUNAL DE JUSTIÇA DE MINAS GERAIS</v>
          </cell>
        </row>
        <row r="100">
          <cell r="G100" t="str">
            <v>PREFEITURA MUNICIPAL DE UBERABA-MG</v>
          </cell>
        </row>
        <row r="101">
          <cell r="G101" t="str">
            <v>PREFEITURA MUNICIPAL DE VESPASIANO - MG</v>
          </cell>
        </row>
        <row r="102">
          <cell r="G102" t="str">
            <v>PREFEITURA MUNICIPAL DE VITÓRIA - ES</v>
          </cell>
        </row>
        <row r="103">
          <cell r="G103" t="str">
            <v>PREFEITURA MUNICIPAL DE RIO ACIMA - MG</v>
          </cell>
        </row>
      </sheetData>
      <sheetData sheetId="12"/>
      <sheetData sheetId="13"/>
      <sheetData sheetId="14"/>
      <sheetData sheetId="15"/>
      <sheetData sheetId="16"/>
      <sheetData sheetId="17"/>
      <sheetData sheetId="1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pa"/>
      <sheetName val="Memorial"/>
      <sheetName val="Anotações"/>
      <sheetName val="Resumo"/>
      <sheetName val="Orçamento"/>
      <sheetName val="Curva ABC"/>
      <sheetName val="Cronograma"/>
      <sheetName val="BDI"/>
      <sheetName val="Composições"/>
      <sheetName val="Cotação"/>
      <sheetName val="Suporte"/>
      <sheetName val="Imagens"/>
      <sheetName val="Banco_Servico"/>
      <sheetName val="Planilha5"/>
      <sheetName val="SETOP PREDIAL"/>
      <sheetName val="Planilha6"/>
      <sheetName val="SETOP INFRA"/>
      <sheetName val="Banco_Insumo"/>
      <sheetName val="Curva_Servico"/>
      <sheetName val="QUADOO_FACC_LABORATÓRIO_ORC_NÃO"/>
    </sheetNames>
    <sheetDataSet>
      <sheetData sheetId="0" refreshError="1"/>
      <sheetData sheetId="1" refreshError="1"/>
      <sheetData sheetId="2" refreshError="1"/>
      <sheetData sheetId="3" refreshError="1">
        <row r="1">
          <cell r="N1" t="str">
            <v>NÃO DESONERADA</v>
          </cell>
        </row>
        <row r="2">
          <cell r="B2" t="str">
            <v>TRIBUNAL DE JUSTIÇA MILITAR DE MINAS GERAIS</v>
          </cell>
          <cell r="C2" t="str">
            <v>PLANILHA MODELO:</v>
          </cell>
        </row>
        <row r="3">
          <cell r="C3" t="str">
            <v>NÃO DESONERADA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row r="1">
          <cell r="A1" t="str">
            <v>PROJETA CONSULTORIA E SERVIÇOS LTDA.</v>
          </cell>
        </row>
        <row r="17">
          <cell r="G17" t="str">
            <v>PREFEITURA MUNICIPAL DE ALFENAS - MG</v>
          </cell>
        </row>
        <row r="18">
          <cell r="G18" t="str">
            <v>PREFEITURA MUNICIPAL DE ALMENARA -MG</v>
          </cell>
        </row>
        <row r="19">
          <cell r="G19" t="str">
            <v>PREFEITURA MUNICIPAL DE ALVORADA DE MINAS - MG</v>
          </cell>
        </row>
        <row r="20">
          <cell r="G20" t="str">
            <v>PREFEITURA MUNICPAL DE ANAPOLIS - MG</v>
          </cell>
        </row>
        <row r="21">
          <cell r="G21" t="str">
            <v>PREFEITURA MUNICIPAL DE ARAGUARI - MG</v>
          </cell>
        </row>
        <row r="22">
          <cell r="G22" t="str">
            <v>PREFEITURA MUNICIPAL DE ARAXÁ- MG</v>
          </cell>
        </row>
        <row r="23">
          <cell r="G23" t="str">
            <v>PREFEITURA MUNICIPAL DE BARÃO DE COCAIS - MG</v>
          </cell>
        </row>
        <row r="24">
          <cell r="G24" t="str">
            <v>PREFEITURA MUNICIPAL DE BELA VISTA DE MINAS-MG</v>
          </cell>
        </row>
        <row r="25">
          <cell r="G25" t="str">
            <v>PREFEITURA MUNICIPAL DE BELO VALE - MG</v>
          </cell>
        </row>
        <row r="26">
          <cell r="G26" t="str">
            <v>PREFEITURA MUNICIPAL DE BOA ESPERANÇA- MG</v>
          </cell>
        </row>
        <row r="27">
          <cell r="G27" t="str">
            <v>PREFEITURA MUNICIPAL DE BOM DESPACHO - MG</v>
          </cell>
        </row>
        <row r="28">
          <cell r="G28" t="str">
            <v>PREFEITURA MUNICIPAL DE BONFIM - MG</v>
          </cell>
        </row>
        <row r="29">
          <cell r="G29" t="str">
            <v>CAMARA MUNICIPAL DE BRUMADINHO - MG</v>
          </cell>
        </row>
        <row r="30">
          <cell r="G30" t="str">
            <v>PREFEITURA MUNICIPAL DE CAMPANHA-MG</v>
          </cell>
        </row>
        <row r="31">
          <cell r="G31" t="str">
            <v xml:space="preserve">PREFEITURA MUNICPAL DE CAMPOS ALTOS -MG </v>
          </cell>
        </row>
        <row r="32">
          <cell r="G32" t="str">
            <v>CAEMA - MA</v>
          </cell>
        </row>
        <row r="33">
          <cell r="G33" t="str">
            <v>CEASA - MG</v>
          </cell>
        </row>
        <row r="34">
          <cell r="G34" t="str">
            <v>CAMARA MUNICIPAL DE BRUMADINHO - MG</v>
          </cell>
        </row>
        <row r="35">
          <cell r="G35" t="str">
            <v>CODEMGE</v>
          </cell>
        </row>
        <row r="36">
          <cell r="G36" t="str">
            <v>PREFEITURA MUNICIPAL DE CARMÓPOLIS DE MINAS - MG</v>
          </cell>
        </row>
        <row r="37">
          <cell r="G37" t="str">
            <v xml:space="preserve">PREFEITURA MUNICIPAL DE CARVOLHOPOLIS- MG </v>
          </cell>
        </row>
        <row r="38">
          <cell r="G38" t="str">
            <v>PREFEITURA MUNICIPAL DE CONCEIÇÃO DO MATO DENTRO - MG</v>
          </cell>
        </row>
        <row r="39">
          <cell r="G39" t="str">
            <v>PREFEITURA MUNICPAL DE CACHOEIRA DA PRATA- MG</v>
          </cell>
        </row>
        <row r="40">
          <cell r="G40" t="str">
            <v>PREFEITURA MUNICPAL DE CONCEIÇÃO DO PARÁ-MG</v>
          </cell>
        </row>
        <row r="41">
          <cell r="G41" t="str">
            <v>PREFEITURA MUNICIPAL DE CONSELHEIRO LAFAIETE-MG</v>
          </cell>
        </row>
        <row r="42">
          <cell r="G42" t="str">
            <v>PREFEITURA MUNICIPAL DE CONGONHAS - MG</v>
          </cell>
        </row>
        <row r="43">
          <cell r="G43" t="str">
            <v>DEPARTAMENTO DE EDIFICAÇÕES E DE RODOVIAS DO ESPIRITO SANTO DER/ES</v>
          </cell>
        </row>
        <row r="44">
          <cell r="G44" t="str">
            <v>DEER - MG</v>
          </cell>
        </row>
        <row r="45">
          <cell r="G45" t="str">
            <v>PREFEITURA MUNICIPAL DE DOM JOAQUIM - MG</v>
          </cell>
        </row>
        <row r="46">
          <cell r="G46" t="str">
            <v>PREFEITURA MUNICIPAL DE ENTRE RIOS DE MINAS - MG</v>
          </cell>
        </row>
        <row r="47">
          <cell r="G47" t="str">
            <v>PREFEITURA MUNICIPAL DE ELÓI MENDES-MG</v>
          </cell>
        </row>
        <row r="48">
          <cell r="G48" t="str">
            <v>PREFEITURA MUNICIPAL DE FERROS - MG</v>
          </cell>
        </row>
        <row r="49">
          <cell r="G49" t="str">
            <v>INSTITUTO FEDERAL DE MINAS GERAIS - SUDESTE</v>
          </cell>
        </row>
        <row r="50">
          <cell r="G50" t="str">
            <v>INSTITUTO FEDERAL DE MINAS GERAIS</v>
          </cell>
        </row>
        <row r="51">
          <cell r="G51" t="str">
            <v xml:space="preserve">PREFEITURA MUNICIPAL DE GOIANIA </v>
          </cell>
        </row>
        <row r="52">
          <cell r="G52" t="str">
            <v>PREFEITURA MUNICIPAL DE GUANHÃES-MG</v>
          </cell>
        </row>
        <row r="53">
          <cell r="G53" t="str">
            <v>PREFEITURA MUNICIPAL DE GUIMARÂNIA-MG</v>
          </cell>
        </row>
        <row r="54">
          <cell r="G54" t="str">
            <v>PREFEITURA MUNICIPAL DE ITAPEMIRIM-MG</v>
          </cell>
        </row>
        <row r="55">
          <cell r="G55" t="str">
            <v>PREFEITURA MUNICIPAL DE ITAGUARA-MG</v>
          </cell>
        </row>
        <row r="56">
          <cell r="G56" t="str">
            <v>PREFEITURA MUNICIPAL DE ILICÍNIA-MG</v>
          </cell>
        </row>
        <row r="57">
          <cell r="G57" t="str">
            <v>PREFEITURA MUNICIPAL DE ITUMIRIM-MG</v>
          </cell>
        </row>
        <row r="58">
          <cell r="G58" t="str">
            <v>PREFEITURA MUNICIPAL DE IGARAPÉ - MG</v>
          </cell>
        </row>
        <row r="59">
          <cell r="G59" t="str">
            <v>PREFEITURA MUNICIPAL DE ILHÉUS - BA</v>
          </cell>
        </row>
        <row r="60">
          <cell r="G60" t="str">
            <v>PREFEITURA MUNICIPAL DE ITATIAIUÇU - MG</v>
          </cell>
        </row>
        <row r="61">
          <cell r="G61" t="str">
            <v>PREFEITURA MUNICIPAL DE JABOTICATUBAS - MG</v>
          </cell>
        </row>
        <row r="62">
          <cell r="G62" t="str">
            <v>PREFEITURA MUNICIPAL DE JOÃO MONLEVADE-MG</v>
          </cell>
        </row>
        <row r="63">
          <cell r="G63" t="str">
            <v>PREFEITURA MUNICIPAL DE LAGOA GRANDE</v>
          </cell>
        </row>
        <row r="64">
          <cell r="G64" t="str">
            <v>PREFEITURA MUNICIPAL DE LAGOA SANTA - MG</v>
          </cell>
        </row>
        <row r="65">
          <cell r="G65" t="str">
            <v>PREFEITURA MUNICIPAL DE MARIANA - MG</v>
          </cell>
        </row>
        <row r="66">
          <cell r="G66" t="str">
            <v>PREFEITURA MUNICIPAL DE MACHADO-MG</v>
          </cell>
        </row>
        <row r="67">
          <cell r="G67" t="str">
            <v>PREFEITURA MUNICIPAL DE MÁRIO CAMPOS - MG</v>
          </cell>
        </row>
        <row r="68">
          <cell r="G68" t="str">
            <v>PREFEITURA MUNICIPAL DE MARTINHO CAMPOS-MG</v>
          </cell>
        </row>
        <row r="69">
          <cell r="G69" t="str">
            <v>PREFEITURA MUNICIPAL DE MATEUS LEME - MG</v>
          </cell>
        </row>
        <row r="70">
          <cell r="G70" t="str">
            <v>PREFEITURA MUNICIPAL DE MOEMA-MG</v>
          </cell>
        </row>
        <row r="71">
          <cell r="G71" t="str">
            <v>PREFEITURA MUNICIPAL DE MONSENHOR PAULO - MG</v>
          </cell>
        </row>
        <row r="72">
          <cell r="G72" t="str">
            <v>PREFEITURA MUNICIPAL DE OURO BRANCO - MG</v>
          </cell>
        </row>
        <row r="73">
          <cell r="G73" t="str">
            <v>PREFEITURA MUNICIPAL DE OURO PRETO - MG</v>
          </cell>
        </row>
        <row r="74">
          <cell r="G74" t="str">
            <v>PREFEITURA MUNICIPAL DE PARAGUAÇU-MG</v>
          </cell>
        </row>
        <row r="75">
          <cell r="G75" t="str">
            <v>PREFEITURA MUNICIPAL DE PIEDADE DOS GERAIS - MG</v>
          </cell>
        </row>
        <row r="76">
          <cell r="G76" t="str">
            <v>PREFEITURA MUNICIPAL DE PARACATU - MG</v>
          </cell>
        </row>
        <row r="77">
          <cell r="G77" t="str">
            <v>PREFEITURA MUNICIPAL DE PATOS DE MINAS - MG</v>
          </cell>
        </row>
        <row r="78">
          <cell r="G78" t="str">
            <v>PREFEITURA MUNICIPAL DE PERDÕES-MG</v>
          </cell>
        </row>
        <row r="79">
          <cell r="G79" t="str">
            <v>PREFEITURA MUNICIPAL DE POÇO FUNDO -MG</v>
          </cell>
        </row>
        <row r="80">
          <cell r="G80" t="str">
            <v>POLÍCIA MILITAR DE MINAS GERAIS</v>
          </cell>
        </row>
        <row r="81">
          <cell r="G81" t="str">
            <v>PREFEITURA MUNICIPAL DE RIO VERMELHO-MG</v>
          </cell>
        </row>
        <row r="82">
          <cell r="G82" t="str">
            <v>PREFEITURA MUNICIPAL DE RIBEIRÃO DAS NEVES-MG</v>
          </cell>
        </row>
        <row r="83">
          <cell r="G83" t="str">
            <v>PREFEITURA MUNICIPAL DE RIO BANANAL - ES</v>
          </cell>
        </row>
        <row r="84">
          <cell r="G84" t="str">
            <v>PREFEITURA MUNICIPAL DE SANTA BÁRBARA - MG</v>
          </cell>
        </row>
        <row r="85">
          <cell r="G85" t="str">
            <v>PREFEITURA MUNICIPAL DE SÃO JOAQUIM DE BICAS - MG</v>
          </cell>
        </row>
        <row r="86">
          <cell r="G86" t="str">
            <v>PREFEITURA MUNICIPAL DE SÃO GONÇALO DO RIO ABAIXO-MG</v>
          </cell>
        </row>
        <row r="87">
          <cell r="G87" t="str">
            <v>PREFEITURA MUNICIPAL DE SÃO SEBASTIÃO DO OESTE-MG</v>
          </cell>
        </row>
        <row r="88">
          <cell r="G88" t="str">
            <v>PREFEITURA MUNICIPAL DE SÃO JOSÉ DA LAPA - MG</v>
          </cell>
        </row>
        <row r="89">
          <cell r="G89" t="str">
            <v>PREFEITURA MUNICIPAL DE SÃO LUÍS - MA</v>
          </cell>
        </row>
        <row r="90">
          <cell r="G90" t="str">
            <v>PREFEITURA MUNICIPAL DE SARZEDO - MG</v>
          </cell>
        </row>
        <row r="91">
          <cell r="G91" t="str">
            <v>PREFEITURA MUNICIPAL DE SERRA - ES</v>
          </cell>
        </row>
        <row r="92">
          <cell r="G92" t="str">
            <v>PREFEITURA MUNICIPAL DE SERRANIA - MG</v>
          </cell>
        </row>
        <row r="93">
          <cell r="G93" t="str">
            <v>PREFEITURA MUNICIPAL DE SERRO - MG</v>
          </cell>
        </row>
        <row r="94">
          <cell r="G94" t="str">
            <v>PREFEITURA MUNICIPAL DE SETE LAGOAS - MG</v>
          </cell>
        </row>
        <row r="95">
          <cell r="G95" t="str">
            <v>SECRETARIA DE SEGURANÇA PÚBLICA DO ESPÍRITO SANTO</v>
          </cell>
        </row>
        <row r="96">
          <cell r="G96" t="str">
            <v>SEST SENAT</v>
          </cell>
        </row>
        <row r="97">
          <cell r="G97" t="str">
            <v>PREFEITURA MUNICIPAL DE TRÊS PONTAS-MG</v>
          </cell>
        </row>
        <row r="98">
          <cell r="G98" t="str">
            <v>TRIBUNAL DE JUSTIÇA MILITAR DE MINAS GERAIS</v>
          </cell>
        </row>
        <row r="99">
          <cell r="G99" t="str">
            <v>TRIBUNAL DE JUSTIÇA DE MINAS GERAIS</v>
          </cell>
        </row>
        <row r="100">
          <cell r="G100" t="str">
            <v>PREFEITURA MUNICIPAL DE UBERABA-MG</v>
          </cell>
        </row>
        <row r="101">
          <cell r="G101" t="str">
            <v>PREFEITURA MUNICIPAL DE VESPASIANO - MG</v>
          </cell>
        </row>
        <row r="102">
          <cell r="G102" t="str">
            <v>PREFEITURA MUNICIPAL DE VITÓRIA - ES</v>
          </cell>
        </row>
        <row r="103">
          <cell r="G103" t="str">
            <v>PREFEITURA MUNICIPAL DE RIO ACIMA - MG</v>
          </cell>
        </row>
      </sheetData>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pa"/>
      <sheetName val="Memorial"/>
      <sheetName val="Anotações"/>
      <sheetName val="Resumo"/>
      <sheetName val="Orçamento"/>
      <sheetName val="Curva ABC"/>
      <sheetName val="Cronograma"/>
      <sheetName val="BDI"/>
      <sheetName val="Composições"/>
      <sheetName val="Cotação"/>
      <sheetName val="Suporte"/>
      <sheetName val="Imagens"/>
      <sheetName val="Banco_Servico"/>
      <sheetName val="Planilha5"/>
      <sheetName val="SETOP PREDIAL"/>
      <sheetName val="Planilha6"/>
      <sheetName val="SETOP INFRA"/>
      <sheetName val="Banco_Insumo"/>
      <sheetName val="Curva_Servico"/>
    </sheetNames>
    <sheetDataSet>
      <sheetData sheetId="0"/>
      <sheetData sheetId="1"/>
      <sheetData sheetId="2"/>
      <sheetData sheetId="3"/>
      <sheetData sheetId="4">
        <row r="8">
          <cell r="AD8">
            <v>1</v>
          </cell>
        </row>
        <row r="22">
          <cell r="AD22">
            <v>2</v>
          </cell>
        </row>
        <row r="37">
          <cell r="AD37">
            <v>3</v>
          </cell>
        </row>
        <row r="71">
          <cell r="AD71">
            <v>4</v>
          </cell>
        </row>
        <row r="166">
          <cell r="AD166">
            <v>5</v>
          </cell>
        </row>
        <row r="206">
          <cell r="AD206">
            <v>6</v>
          </cell>
        </row>
        <row r="253">
          <cell r="AD253">
            <v>7</v>
          </cell>
        </row>
        <row r="291">
          <cell r="AD291">
            <v>8</v>
          </cell>
        </row>
        <row r="317">
          <cell r="AD317">
            <v>9</v>
          </cell>
        </row>
        <row r="342">
          <cell r="AD342">
            <v>10</v>
          </cell>
        </row>
        <row r="356">
          <cell r="AD356">
            <v>11</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o"/>
      <sheetName val="Orçamento "/>
      <sheetName val="Composições"/>
      <sheetName val="BDI"/>
      <sheetName val="Cotações"/>
      <sheetName val="Cronograma"/>
      <sheetName val="Curva ABC"/>
    </sheetNames>
    <sheetDataSet>
      <sheetData sheetId="0" refreshError="1"/>
      <sheetData sheetId="1" refreshError="1"/>
      <sheetData sheetId="2" refreshError="1"/>
      <sheetData sheetId="3" refreshError="1">
        <row r="21">
          <cell r="Z21">
            <v>0.22470000000000001</v>
          </cell>
        </row>
      </sheetData>
      <sheetData sheetId="4" refreshError="1"/>
      <sheetData sheetId="5" refreshError="1"/>
      <sheetData sheetId="6"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o"/>
      <sheetName val="Orçamento "/>
      <sheetName val="Composições"/>
      <sheetName val="BDI"/>
      <sheetName val="Cotações"/>
      <sheetName val="Cronograma"/>
      <sheetName val="Curva ABC"/>
    </sheetNames>
    <sheetDataSet>
      <sheetData sheetId="0"/>
      <sheetData sheetId="1">
        <row r="157">
          <cell r="E157" t="str">
            <v>UN</v>
          </cell>
        </row>
        <row r="273">
          <cell r="E273" t="str">
            <v>m²</v>
          </cell>
        </row>
      </sheetData>
      <sheetData sheetId="2"/>
      <sheetData sheetId="3"/>
      <sheetData sheetId="4"/>
      <sheetData sheetId="5"/>
      <sheetData sheetId="6"/>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o"/>
      <sheetName val="BDI"/>
      <sheetName val="Orçamento "/>
      <sheetName val="CPU"/>
      <sheetName val="MC"/>
      <sheetName val="COT."/>
      <sheetName val="CRON."/>
      <sheetName val="ABC"/>
    </sheetNames>
    <sheetDataSet>
      <sheetData sheetId="0"/>
      <sheetData sheetId="1"/>
      <sheetData sheetId="2">
        <row r="212">
          <cell r="E212" t="str">
            <v>UN</v>
          </cell>
        </row>
      </sheetData>
      <sheetData sheetId="3"/>
      <sheetData sheetId="4"/>
      <sheetData sheetId="5"/>
      <sheetData sheetId="6"/>
      <sheetData sheetId="7"/>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90A858-67B1-4C89-A905-0A5E6BF44E67}">
  <dimension ref="A1:M64"/>
  <sheetViews>
    <sheetView tabSelected="1" workbookViewId="0">
      <selection activeCell="D4" sqref="D4:E5"/>
    </sheetView>
  </sheetViews>
  <sheetFormatPr defaultColWidth="9.140625" defaultRowHeight="18.75" customHeight="1" x14ac:dyDescent="0.25"/>
  <cols>
    <col min="1" max="1" width="19.7109375" style="75" bestFit="1" customWidth="1"/>
    <col min="2" max="2" width="79.42578125" style="76" customWidth="1"/>
    <col min="3" max="3" width="29.42578125" style="77" customWidth="1"/>
    <col min="4" max="4" width="20" style="72" customWidth="1"/>
    <col min="5" max="5" width="15" style="72" customWidth="1"/>
    <col min="6" max="6" width="11.140625" style="72" bestFit="1" customWidth="1"/>
    <col min="7" max="7" width="11.85546875" style="72" bestFit="1" customWidth="1"/>
    <col min="8" max="8" width="8.7109375" style="72" bestFit="1" customWidth="1"/>
    <col min="9" max="9" width="10" style="72" bestFit="1" customWidth="1"/>
    <col min="10" max="12" width="9.140625" style="72"/>
    <col min="13" max="13" width="0" style="72" hidden="1" customWidth="1"/>
    <col min="14" max="16384" width="9.140625" style="72"/>
  </cols>
  <sheetData>
    <row r="1" spans="1:13" s="71" customFormat="1" ht="60" customHeight="1" thickBot="1" x14ac:dyDescent="0.25">
      <c r="A1" s="428" t="s">
        <v>265</v>
      </c>
      <c r="B1" s="429"/>
      <c r="C1" s="429"/>
      <c r="D1" s="429"/>
      <c r="E1" s="153"/>
      <c r="M1" s="72" t="s">
        <v>253</v>
      </c>
    </row>
    <row r="2" spans="1:13" ht="16.5" customHeight="1" x14ac:dyDescent="0.25">
      <c r="A2" s="155" t="s">
        <v>117</v>
      </c>
      <c r="B2" s="156" t="s">
        <v>118</v>
      </c>
      <c r="C2" s="160" t="s">
        <v>254</v>
      </c>
      <c r="D2" s="164">
        <f>BDI!$Z$21</f>
        <v>0.22470000000000001</v>
      </c>
      <c r="E2" s="157"/>
      <c r="M2" s="72" t="s">
        <v>255</v>
      </c>
    </row>
    <row r="3" spans="1:13" ht="16.5" customHeight="1" x14ac:dyDescent="0.25">
      <c r="A3" s="73" t="s">
        <v>120</v>
      </c>
      <c r="B3" s="154" t="s">
        <v>121</v>
      </c>
      <c r="C3" s="161" t="s">
        <v>253</v>
      </c>
      <c r="D3" s="434" t="s">
        <v>801</v>
      </c>
      <c r="E3" s="435"/>
    </row>
    <row r="4" spans="1:13" ht="16.5" customHeight="1" x14ac:dyDescent="0.25">
      <c r="A4" s="73" t="s">
        <v>122</v>
      </c>
      <c r="B4" s="132" t="s">
        <v>635</v>
      </c>
      <c r="C4" s="162" t="s">
        <v>256</v>
      </c>
      <c r="D4" s="430" t="s">
        <v>727</v>
      </c>
      <c r="E4" s="431"/>
    </row>
    <row r="5" spans="1:13" ht="15.75" customHeight="1" thickBot="1" x14ac:dyDescent="0.3">
      <c r="A5" s="158" t="s">
        <v>257</v>
      </c>
      <c r="B5" s="159" t="s">
        <v>700</v>
      </c>
      <c r="C5" s="163">
        <v>5</v>
      </c>
      <c r="D5" s="432"/>
      <c r="E5" s="433"/>
    </row>
    <row r="6" spans="1:13" s="83" customFormat="1" ht="5.25" customHeight="1" x14ac:dyDescent="0.25">
      <c r="A6" s="79"/>
      <c r="B6" s="80"/>
      <c r="C6" s="81"/>
      <c r="D6" s="82"/>
      <c r="E6" s="74"/>
    </row>
    <row r="7" spans="1:13" s="89" customFormat="1" ht="15" x14ac:dyDescent="0.25">
      <c r="A7" s="84">
        <f>[3]Orçamento!$AD$8</f>
        <v>1</v>
      </c>
      <c r="B7" s="85" t="str">
        <f>Orçamento!$D$9</f>
        <v>ADMINISTRAÇÃO LOCAL DA OBRA</v>
      </c>
      <c r="C7" s="86" t="str">
        <f>"TOTAL DO ITEM - "&amp;A7&amp;"      :"</f>
        <v>TOTAL DO ITEM - 1      :</v>
      </c>
      <c r="D7" s="87">
        <f>Orçamento!$J$9</f>
        <v>42241.326713750001</v>
      </c>
      <c r="E7" s="88">
        <f ca="1">D7/D64</f>
        <v>0.12547984360094819</v>
      </c>
    </row>
    <row r="8" spans="1:13" ht="5.25" customHeight="1" x14ac:dyDescent="0.25">
      <c r="A8" s="79"/>
      <c r="B8" s="90"/>
      <c r="C8" s="90"/>
      <c r="D8" s="90"/>
      <c r="E8" s="74"/>
      <c r="F8" s="91"/>
    </row>
    <row r="9" spans="1:13" s="83" customFormat="1" ht="5.25" customHeight="1" x14ac:dyDescent="0.25">
      <c r="A9" s="79"/>
      <c r="B9" s="80"/>
      <c r="C9" s="80"/>
      <c r="D9" s="82"/>
      <c r="E9" s="74"/>
    </row>
    <row r="10" spans="1:13" s="89" customFormat="1" ht="15" x14ac:dyDescent="0.25">
      <c r="A10" s="84">
        <f>[3]Orçamento!$AD$22</f>
        <v>2</v>
      </c>
      <c r="B10" s="85" t="str">
        <f>Orçamento!$D$13</f>
        <v>REGULARIZAÇÃO E MOBILIZAÇÃO</v>
      </c>
      <c r="C10" s="86" t="str">
        <f>"TOTAL DO ITEM - "&amp;A10&amp;"      :"</f>
        <v>TOTAL DO ITEM - 2      :</v>
      </c>
      <c r="D10" s="87">
        <f ca="1">Orçamento!$J$13</f>
        <v>2702.2648971726385</v>
      </c>
      <c r="E10" s="88">
        <f ca="1">D10/D64</f>
        <v>8.0272047079236498E-3</v>
      </c>
    </row>
    <row r="11" spans="1:13" ht="5.25" customHeight="1" x14ac:dyDescent="0.25">
      <c r="A11" s="79"/>
      <c r="B11" s="90"/>
      <c r="C11" s="90"/>
      <c r="D11" s="90"/>
      <c r="E11" s="74"/>
      <c r="F11" s="91"/>
    </row>
    <row r="12" spans="1:13" s="83" customFormat="1" ht="5.25" customHeight="1" x14ac:dyDescent="0.25">
      <c r="A12" s="79"/>
      <c r="B12" s="80"/>
      <c r="C12" s="80"/>
      <c r="D12" s="82"/>
      <c r="E12" s="74"/>
    </row>
    <row r="13" spans="1:13" s="89" customFormat="1" ht="15" x14ac:dyDescent="0.25">
      <c r="A13" s="84">
        <f>[3]Orçamento!$AD$37</f>
        <v>3</v>
      </c>
      <c r="B13" s="85" t="str">
        <f>Orçamento!$D$23</f>
        <v>DEMOLIÇÕES E REMOÇÕES</v>
      </c>
      <c r="C13" s="86" t="str">
        <f>"TOTAL DO ITEM - "&amp;A13&amp;"      :"</f>
        <v>TOTAL DO ITEM - 3      :</v>
      </c>
      <c r="D13" s="87">
        <f>Orçamento!$J$23</f>
        <v>10159.773849920139</v>
      </c>
      <c r="E13" s="88">
        <f ca="1">D13/D64</f>
        <v>3.0180085070434261E-2</v>
      </c>
    </row>
    <row r="14" spans="1:13" ht="5.25" customHeight="1" x14ac:dyDescent="0.25">
      <c r="A14" s="79"/>
      <c r="B14" s="90"/>
      <c r="C14" s="90"/>
      <c r="D14" s="90"/>
      <c r="E14" s="74"/>
      <c r="F14" s="91"/>
    </row>
    <row r="15" spans="1:13" s="83" customFormat="1" ht="5.25" customHeight="1" x14ac:dyDescent="0.25">
      <c r="A15" s="79"/>
      <c r="B15" s="80"/>
      <c r="C15" s="80"/>
      <c r="D15" s="82"/>
      <c r="E15" s="74"/>
    </row>
    <row r="16" spans="1:13" s="89" customFormat="1" ht="15" x14ac:dyDescent="0.25">
      <c r="A16" s="84">
        <f>[3]Orçamento!$AD$71</f>
        <v>4</v>
      </c>
      <c r="B16" s="85" t="str">
        <f>Orçamento!$D$39</f>
        <v>SERVIÇOS CIVIS</v>
      </c>
      <c r="C16" s="86" t="str">
        <f>"TOTAL DO ITEM - "&amp;A16&amp;"      :"</f>
        <v>TOTAL DO ITEM - 4      :</v>
      </c>
      <c r="D16" s="87">
        <f>Orçamento!$J$39</f>
        <v>6930.3930928729997</v>
      </c>
      <c r="E16" s="88">
        <f ca="1">D16/D64</f>
        <v>2.058705796055699E-2</v>
      </c>
    </row>
    <row r="17" spans="1:6" ht="5.25" customHeight="1" x14ac:dyDescent="0.25">
      <c r="A17" s="79"/>
      <c r="B17" s="90"/>
      <c r="C17" s="90"/>
      <c r="D17" s="90"/>
      <c r="E17" s="74"/>
      <c r="F17" s="91"/>
    </row>
    <row r="18" spans="1:6" s="83" customFormat="1" ht="5.25" customHeight="1" x14ac:dyDescent="0.25">
      <c r="A18" s="79"/>
      <c r="B18" s="80"/>
      <c r="C18" s="80"/>
      <c r="D18" s="82"/>
      <c r="E18" s="74"/>
    </row>
    <row r="19" spans="1:6" s="89" customFormat="1" ht="15" x14ac:dyDescent="0.25">
      <c r="A19" s="84">
        <f>[3]Orçamento!$AD$166</f>
        <v>5</v>
      </c>
      <c r="B19" s="85" t="str">
        <f>Orçamento!$D$44</f>
        <v>FORROS, COBERTURAS E FECHAMENTOS EM DRY-WALL</v>
      </c>
      <c r="C19" s="86" t="str">
        <f>"TOTAL DO ITEM - "&amp;A19&amp;"      :"</f>
        <v>TOTAL DO ITEM - 5      :</v>
      </c>
      <c r="D19" s="87">
        <f ca="1">Orçamento!$J$44</f>
        <v>39678.096091116582</v>
      </c>
      <c r="E19" s="88">
        <f ca="1">D19/D64</f>
        <v>0.11786564673112054</v>
      </c>
    </row>
    <row r="20" spans="1:6" ht="5.25" customHeight="1" x14ac:dyDescent="0.25">
      <c r="A20" s="79"/>
      <c r="B20" s="90"/>
      <c r="C20" s="90"/>
      <c r="D20" s="90"/>
      <c r="E20" s="74"/>
      <c r="F20" s="91"/>
    </row>
    <row r="21" spans="1:6" s="83" customFormat="1" ht="5.25" customHeight="1" x14ac:dyDescent="0.25">
      <c r="A21" s="79"/>
      <c r="B21" s="80"/>
      <c r="C21" s="80"/>
      <c r="D21" s="82"/>
      <c r="E21" s="74"/>
    </row>
    <row r="22" spans="1:6" s="89" customFormat="1" ht="15" x14ac:dyDescent="0.25">
      <c r="A22" s="84">
        <f>[3]Orçamento!$AD$206</f>
        <v>6</v>
      </c>
      <c r="B22" s="85" t="str">
        <f>Orçamento!$D$55</f>
        <v>REVESTIMENTOS E ROCHAS ORNAMENTAIS</v>
      </c>
      <c r="C22" s="86" t="str">
        <f>"TOTAL DO ITEM - "&amp;A22&amp;"      :"</f>
        <v>TOTAL DO ITEM - 6      :</v>
      </c>
      <c r="D22" s="87">
        <f ca="1">Orçamento!$J$55</f>
        <v>20808.246462573781</v>
      </c>
      <c r="E22" s="88">
        <f ca="1">D22/D64</f>
        <v>6.1811872752657371E-2</v>
      </c>
    </row>
    <row r="23" spans="1:6" ht="5.25" customHeight="1" x14ac:dyDescent="0.25">
      <c r="A23" s="79"/>
      <c r="B23" s="90"/>
      <c r="C23" s="90"/>
      <c r="D23" s="90"/>
      <c r="E23" s="74"/>
      <c r="F23" s="91"/>
    </row>
    <row r="24" spans="1:6" s="83" customFormat="1" ht="5.25" customHeight="1" x14ac:dyDescent="0.25">
      <c r="A24" s="79"/>
      <c r="B24" s="80"/>
      <c r="C24" s="80"/>
      <c r="D24" s="82"/>
      <c r="E24" s="74"/>
    </row>
    <row r="25" spans="1:6" s="89" customFormat="1" ht="15" x14ac:dyDescent="0.25">
      <c r="A25" s="84">
        <f>[3]Orçamento!$AD$253</f>
        <v>7</v>
      </c>
      <c r="B25" s="85" t="str">
        <f>Orçamento!$D$64</f>
        <v>INSTALAÇÕES ELÉTRICAS</v>
      </c>
      <c r="C25" s="86" t="str">
        <f>"TOTAL DO ITEM - "&amp;A25&amp;"      :"</f>
        <v>TOTAL DO ITEM - 7      :</v>
      </c>
      <c r="D25" s="87">
        <f ca="1">Orçamento!$J$64</f>
        <v>28769.032562791996</v>
      </c>
      <c r="E25" s="88">
        <f ca="1">D25/D64</f>
        <v>8.5459761503055579E-2</v>
      </c>
    </row>
    <row r="26" spans="1:6" ht="5.25" customHeight="1" x14ac:dyDescent="0.25">
      <c r="A26" s="79"/>
      <c r="B26" s="90"/>
      <c r="C26" s="90"/>
      <c r="D26" s="90"/>
      <c r="E26" s="74"/>
      <c r="F26" s="91"/>
    </row>
    <row r="27" spans="1:6" s="83" customFormat="1" ht="5.25" customHeight="1" x14ac:dyDescent="0.25">
      <c r="A27" s="79"/>
      <c r="B27" s="80"/>
      <c r="C27" s="80"/>
      <c r="D27" s="82"/>
      <c r="E27" s="74"/>
    </row>
    <row r="28" spans="1:6" s="89" customFormat="1" ht="15" x14ac:dyDescent="0.25">
      <c r="A28" s="84">
        <f>[3]Orçamento!$AD$291</f>
        <v>8</v>
      </c>
      <c r="B28" s="85" t="str">
        <f>Orçamento!$D$102</f>
        <v>INSTALAÇÕES ELÉTRICAS ESTABILIZADAS</v>
      </c>
      <c r="C28" s="86" t="str">
        <f>"TOTAL DO ITEM - "&amp;A28&amp;"      :"</f>
        <v>TOTAL DO ITEM - 8      :</v>
      </c>
      <c r="D28" s="87">
        <f ca="1">Orçamento!$J$102</f>
        <v>16960.048863240001</v>
      </c>
      <c r="E28" s="88">
        <f ca="1">D28/D64</f>
        <v>5.0380621168583252E-2</v>
      </c>
    </row>
    <row r="29" spans="1:6" ht="5.25" customHeight="1" x14ac:dyDescent="0.25">
      <c r="A29" s="79"/>
      <c r="B29" s="90"/>
      <c r="C29" s="90"/>
      <c r="D29" s="90"/>
      <c r="E29" s="74"/>
      <c r="F29" s="91"/>
    </row>
    <row r="30" spans="1:6" s="83" customFormat="1" ht="5.25" customHeight="1" x14ac:dyDescent="0.25">
      <c r="A30" s="79"/>
      <c r="B30" s="80"/>
      <c r="C30" s="80"/>
      <c r="D30" s="82"/>
      <c r="E30" s="74"/>
    </row>
    <row r="31" spans="1:6" s="89" customFormat="1" ht="15" x14ac:dyDescent="0.25">
      <c r="A31" s="84">
        <f>[3]Orçamento!$AD$317</f>
        <v>9</v>
      </c>
      <c r="B31" s="85" t="str">
        <f>Orçamento!$D$124</f>
        <v>CABEAMENTO ESTRUTURADO</v>
      </c>
      <c r="C31" s="86" t="str">
        <f>"TOTAL DO ITEM - "&amp;A31&amp;"      :"</f>
        <v>TOTAL DO ITEM - 9      :</v>
      </c>
      <c r="D31" s="87">
        <f ca="1">Orçamento!$J$124</f>
        <v>42971.940481599995</v>
      </c>
      <c r="E31" s="88">
        <f ca="1">D31/D64</f>
        <v>0.12765016608972254</v>
      </c>
    </row>
    <row r="32" spans="1:6" ht="5.25" customHeight="1" x14ac:dyDescent="0.25">
      <c r="A32" s="79"/>
      <c r="B32" s="90"/>
      <c r="C32" s="90"/>
      <c r="D32" s="90"/>
      <c r="E32" s="74"/>
      <c r="F32" s="91"/>
    </row>
    <row r="33" spans="1:6" s="83" customFormat="1" ht="5.25" customHeight="1" x14ac:dyDescent="0.25">
      <c r="A33" s="79"/>
      <c r="B33" s="80"/>
      <c r="C33" s="80"/>
      <c r="D33" s="82"/>
      <c r="E33" s="74"/>
    </row>
    <row r="34" spans="1:6" s="89" customFormat="1" ht="15" x14ac:dyDescent="0.25">
      <c r="A34" s="84">
        <f>[3]Orçamento!$AD$342</f>
        <v>10</v>
      </c>
      <c r="B34" s="85" t="str">
        <f>Orçamento!$D$160</f>
        <v>SISTEMA PCI</v>
      </c>
      <c r="C34" s="86" t="str">
        <f>"TOTAL DO ITEM - "&amp;A34&amp;"      :"</f>
        <v>TOTAL DO ITEM - 10      :</v>
      </c>
      <c r="D34" s="87">
        <f>Orçamento!$J$160</f>
        <v>724.36106199999995</v>
      </c>
      <c r="E34" s="88">
        <f ca="1">D34/D64</f>
        <v>2.1517485325760421E-3</v>
      </c>
    </row>
    <row r="35" spans="1:6" ht="5.25" customHeight="1" x14ac:dyDescent="0.25">
      <c r="A35" s="79"/>
      <c r="B35" s="90"/>
      <c r="C35" s="90"/>
      <c r="D35" s="90"/>
      <c r="E35" s="74"/>
      <c r="F35" s="91"/>
    </row>
    <row r="36" spans="1:6" s="83" customFormat="1" ht="5.25" customHeight="1" x14ac:dyDescent="0.25">
      <c r="A36" s="79"/>
      <c r="B36" s="80"/>
      <c r="C36" s="80"/>
      <c r="D36" s="82"/>
      <c r="E36" s="74"/>
    </row>
    <row r="37" spans="1:6" s="89" customFormat="1" ht="15" x14ac:dyDescent="0.25">
      <c r="A37" s="84">
        <f>[3]Orçamento!$AD$356</f>
        <v>11</v>
      </c>
      <c r="B37" s="85" t="str">
        <f>Orçamento!$D$165</f>
        <v>AR CONDICIONADO</v>
      </c>
      <c r="C37" s="86" t="str">
        <f>"TOTAL DO ITEM - "&amp;A37&amp;"      :"</f>
        <v>TOTAL DO ITEM - 11      :</v>
      </c>
      <c r="D37" s="87">
        <f ca="1">Orçamento!$J$165</f>
        <v>15991.561833095</v>
      </c>
      <c r="E37" s="88">
        <f ca="1">D37/$D$64</f>
        <v>4.7503684989573906E-2</v>
      </c>
    </row>
    <row r="38" spans="1:6" ht="5.25" customHeight="1" x14ac:dyDescent="0.25">
      <c r="A38" s="79"/>
      <c r="B38" s="90"/>
      <c r="C38" s="90"/>
      <c r="D38" s="90"/>
      <c r="E38" s="74"/>
      <c r="F38" s="91"/>
    </row>
    <row r="39" spans="1:6" s="83" customFormat="1" ht="5.25" customHeight="1" x14ac:dyDescent="0.25">
      <c r="A39" s="79"/>
      <c r="B39" s="80"/>
      <c r="C39" s="80"/>
      <c r="D39" s="82"/>
      <c r="E39" s="74"/>
    </row>
    <row r="40" spans="1:6" s="89" customFormat="1" ht="15" x14ac:dyDescent="0.25">
      <c r="A40" s="84">
        <v>12</v>
      </c>
      <c r="B40" s="85" t="str">
        <f>Orçamento!$D$182</f>
        <v>ESQUADRIAS</v>
      </c>
      <c r="C40" s="86" t="str">
        <f>"TOTAL DO ITEM - "&amp;A40&amp;"      :"</f>
        <v>TOTAL DO ITEM - 12      :</v>
      </c>
      <c r="D40" s="87">
        <f ca="1">Orçamento!$J$182</f>
        <v>65414.154032999999</v>
      </c>
      <c r="E40" s="88">
        <f ca="1">D40/$D$64</f>
        <v>0.19431581477002549</v>
      </c>
    </row>
    <row r="41" spans="1:6" ht="5.25" customHeight="1" x14ac:dyDescent="0.25">
      <c r="A41" s="79"/>
      <c r="B41" s="90"/>
      <c r="C41" s="90"/>
      <c r="D41" s="90"/>
      <c r="E41" s="74"/>
      <c r="F41" s="91"/>
    </row>
    <row r="42" spans="1:6" s="83" customFormat="1" ht="5.25" customHeight="1" x14ac:dyDescent="0.25">
      <c r="A42" s="79"/>
      <c r="B42" s="80"/>
      <c r="C42" s="80"/>
      <c r="D42" s="82"/>
      <c r="E42" s="74"/>
    </row>
    <row r="43" spans="1:6" s="89" customFormat="1" ht="15" x14ac:dyDescent="0.25">
      <c r="A43" s="84">
        <v>13</v>
      </c>
      <c r="B43" s="85" t="str">
        <f>Orçamento!$D$189</f>
        <v>PINTURA</v>
      </c>
      <c r="C43" s="86" t="str">
        <f>"TOTAL DO ITEM - "&amp;A43&amp;"      :"</f>
        <v>TOTAL DO ITEM - 13      :</v>
      </c>
      <c r="D43" s="87">
        <f>Orçamento!$J$189</f>
        <v>20062.896358584298</v>
      </c>
      <c r="E43" s="88">
        <f ca="1">D43/$D$64</f>
        <v>5.9597775285730341E-2</v>
      </c>
    </row>
    <row r="44" spans="1:6" ht="5.25" customHeight="1" x14ac:dyDescent="0.25">
      <c r="A44" s="79"/>
      <c r="B44" s="90"/>
      <c r="C44" s="90"/>
      <c r="D44" s="90"/>
      <c r="E44" s="74"/>
      <c r="F44" s="91"/>
    </row>
    <row r="45" spans="1:6" s="83" customFormat="1" ht="5.25" customHeight="1" x14ac:dyDescent="0.25">
      <c r="A45" s="79"/>
      <c r="B45" s="80"/>
      <c r="C45" s="80"/>
      <c r="D45" s="82"/>
      <c r="E45" s="74"/>
    </row>
    <row r="46" spans="1:6" s="89" customFormat="1" ht="15" x14ac:dyDescent="0.25">
      <c r="A46" s="84">
        <v>14</v>
      </c>
      <c r="B46" s="85" t="str">
        <f>Orçamento!$D$196</f>
        <v xml:space="preserve">PAISAGISMO </v>
      </c>
      <c r="C46" s="86" t="str">
        <f>"TOTAL DO ITEM - "&amp;A46&amp;"      :"</f>
        <v>TOTAL DO ITEM - 14      :</v>
      </c>
      <c r="D46" s="87">
        <f ca="1">Orçamento!$J$196</f>
        <v>3904.0986599999997</v>
      </c>
      <c r="E46" s="88">
        <f ca="1">D46/$D$64</f>
        <v>1.159730830850084E-2</v>
      </c>
    </row>
    <row r="47" spans="1:6" ht="5.25" customHeight="1" x14ac:dyDescent="0.25">
      <c r="A47" s="79"/>
      <c r="B47" s="90"/>
      <c r="C47" s="90"/>
      <c r="D47" s="90"/>
      <c r="E47" s="74"/>
      <c r="F47" s="91"/>
    </row>
    <row r="48" spans="1:6" s="83" customFormat="1" ht="5.25" customHeight="1" x14ac:dyDescent="0.25">
      <c r="A48" s="79"/>
      <c r="B48" s="80"/>
      <c r="C48" s="80"/>
      <c r="D48" s="82"/>
      <c r="E48" s="74"/>
    </row>
    <row r="49" spans="1:8" s="89" customFormat="1" ht="15" x14ac:dyDescent="0.25">
      <c r="A49" s="84">
        <v>15</v>
      </c>
      <c r="B49" s="85" t="str">
        <f>Orçamento!$D$199</f>
        <v>CORTINAS E MOBILIÁRIOS</v>
      </c>
      <c r="C49" s="86" t="str">
        <f>"TOTAL DO ITEM - "&amp;A49&amp;"      :"</f>
        <v>TOTAL DO ITEM - 15      :</v>
      </c>
      <c r="D49" s="87">
        <f>Orçamento!$J$199</f>
        <v>5420.8161279999995</v>
      </c>
      <c r="E49" s="88">
        <f ca="1">D49/$D$64</f>
        <v>1.6102788734368143E-2</v>
      </c>
    </row>
    <row r="50" spans="1:8" ht="5.25" customHeight="1" x14ac:dyDescent="0.25">
      <c r="A50" s="79"/>
      <c r="B50" s="90"/>
      <c r="C50" s="90"/>
      <c r="D50" s="90"/>
      <c r="E50" s="74"/>
      <c r="F50" s="91"/>
    </row>
    <row r="51" spans="1:8" s="83" customFormat="1" ht="5.25" customHeight="1" x14ac:dyDescent="0.25">
      <c r="A51" s="79"/>
      <c r="B51" s="80"/>
      <c r="C51" s="80"/>
      <c r="D51" s="82"/>
      <c r="E51" s="74"/>
    </row>
    <row r="52" spans="1:8" s="89" customFormat="1" ht="15" x14ac:dyDescent="0.25">
      <c r="A52" s="84">
        <v>16</v>
      </c>
      <c r="B52" s="85" t="str">
        <f>Orçamento!D203</f>
        <v>COBERTURA</v>
      </c>
      <c r="C52" s="86" t="str">
        <f>"TOTAL DO ITEM - "&amp;A52&amp;"      :"</f>
        <v>TOTAL DO ITEM - 16      :</v>
      </c>
      <c r="D52" s="87">
        <f>Orçamento!J203</f>
        <v>2699.8518235849997</v>
      </c>
      <c r="E52" s="88">
        <f ca="1">D52/$D$64</f>
        <v>8.0200365595738971E-3</v>
      </c>
    </row>
    <row r="53" spans="1:8" ht="5.25" customHeight="1" x14ac:dyDescent="0.25">
      <c r="A53" s="79"/>
      <c r="B53" s="90"/>
      <c r="C53" s="90"/>
      <c r="D53" s="90"/>
      <c r="E53" s="74"/>
      <c r="F53" s="91"/>
    </row>
    <row r="54" spans="1:8" s="83" customFormat="1" ht="5.25" customHeight="1" x14ac:dyDescent="0.25">
      <c r="A54" s="79"/>
      <c r="B54" s="80"/>
      <c r="C54" s="80"/>
      <c r="D54" s="82"/>
      <c r="E54" s="74"/>
    </row>
    <row r="55" spans="1:8" s="89" customFormat="1" ht="15" x14ac:dyDescent="0.25">
      <c r="A55" s="84">
        <v>17</v>
      </c>
      <c r="B55" s="85" t="str">
        <f>Orçamento!$D$207</f>
        <v xml:space="preserve">LIMPEZA GERAL </v>
      </c>
      <c r="C55" s="86" t="str">
        <f>"TOTAL DO ITEM - "&amp;A55&amp;"      :"</f>
        <v>TOTAL DO ITEM - 17      :</v>
      </c>
      <c r="D55" s="87">
        <f ca="1">Orçamento!$J$207</f>
        <v>11199.48075634809</v>
      </c>
      <c r="E55" s="88">
        <f ca="1">D55/$D$64</f>
        <v>3.3268583234648839E-2</v>
      </c>
    </row>
    <row r="56" spans="1:8" ht="5.25" customHeight="1" x14ac:dyDescent="0.25">
      <c r="A56" s="79"/>
      <c r="B56" s="90"/>
      <c r="C56" s="90"/>
      <c r="D56" s="90"/>
      <c r="E56" s="74"/>
      <c r="F56" s="91"/>
    </row>
    <row r="57" spans="1:8" s="83" customFormat="1" ht="5.25" customHeight="1" x14ac:dyDescent="0.25">
      <c r="A57" s="79"/>
      <c r="B57" s="80"/>
      <c r="C57" s="80"/>
      <c r="D57" s="82"/>
      <c r="E57" s="74"/>
    </row>
    <row r="58" spans="1:8" ht="5.25" customHeight="1" x14ac:dyDescent="0.25">
      <c r="A58" s="79"/>
      <c r="B58" s="90"/>
      <c r="C58" s="90"/>
      <c r="D58" s="90"/>
      <c r="E58" s="74"/>
      <c r="F58" s="91"/>
    </row>
    <row r="59" spans="1:8" s="83" customFormat="1" ht="5.25" customHeight="1" x14ac:dyDescent="0.25">
      <c r="A59" s="79"/>
      <c r="B59" s="80"/>
      <c r="C59" s="80"/>
      <c r="D59" s="82"/>
      <c r="E59" s="74"/>
    </row>
    <row r="60" spans="1:8" ht="5.25" customHeight="1" x14ac:dyDescent="0.25">
      <c r="A60" s="79"/>
      <c r="B60" s="90"/>
      <c r="C60" s="90"/>
      <c r="D60" s="90"/>
      <c r="E60" s="74"/>
      <c r="F60" s="91"/>
    </row>
    <row r="61" spans="1:8" s="83" customFormat="1" ht="5.25" customHeight="1" x14ac:dyDescent="0.25">
      <c r="A61" s="79"/>
      <c r="B61" s="80"/>
      <c r="C61" s="80"/>
      <c r="D61" s="82"/>
      <c r="E61" s="74"/>
    </row>
    <row r="62" spans="1:8" ht="5.25" customHeight="1" x14ac:dyDescent="0.25">
      <c r="A62" s="79"/>
      <c r="B62" s="90"/>
      <c r="C62" s="92"/>
      <c r="D62" s="90"/>
      <c r="E62" s="74"/>
      <c r="F62" s="91"/>
    </row>
    <row r="63" spans="1:8" ht="5.25" customHeight="1" thickBot="1" x14ac:dyDescent="0.3">
      <c r="A63" s="79"/>
      <c r="B63" s="90"/>
      <c r="C63" s="92"/>
      <c r="D63" s="90"/>
      <c r="E63" s="74"/>
      <c r="F63" s="91"/>
    </row>
    <row r="64" spans="1:8" ht="15.75" thickBot="1" x14ac:dyDescent="0.3">
      <c r="A64" s="93"/>
      <c r="B64" s="94"/>
      <c r="C64" s="95" t="s">
        <v>264</v>
      </c>
      <c r="D64" s="96">
        <f ca="1">SUBTOTAL(9,OFFSET(D5,1,0):OFFSET(D64,-1,0))</f>
        <v>336638.34366965055</v>
      </c>
      <c r="E64" s="97">
        <f ca="1">SUBTOTAL(9,OFFSET(E5,1,0):OFFSET(E64,-1,0))</f>
        <v>0.99999999999999989</v>
      </c>
      <c r="F64" s="98"/>
      <c r="H64" s="98"/>
    </row>
  </sheetData>
  <mergeCells count="3">
    <mergeCell ref="A1:D1"/>
    <mergeCell ref="D4:E5"/>
    <mergeCell ref="D3:E3"/>
  </mergeCells>
  <conditionalFormatting sqref="B2:B4">
    <cfRule type="expression" dxfId="38" priority="1">
      <formula>B2=""</formula>
    </cfRule>
  </conditionalFormatting>
  <dataValidations count="2">
    <dataValidation type="whole" allowBlank="1" showInputMessage="1" showErrorMessage="1" sqref="C5" xr:uid="{958A2D64-C196-45C2-9B0A-87D978BCD60A}">
      <formula1>2</formula1>
      <formula2>120</formula2>
    </dataValidation>
    <dataValidation type="list" allowBlank="1" showInputMessage="1" showErrorMessage="1" sqref="C3" xr:uid="{0D465E60-201C-44D5-82D1-63C41C45FCB2}">
      <formula1>$M$1:$M$2</formula1>
    </dataValidation>
  </dataValidations>
  <pageMargins left="0.511811024" right="0.511811024" top="0.78740157499999996" bottom="0.78740157499999996" header="0.31496062000000002" footer="0.31496062000000002"/>
  <pageSetup paperSize="9" scale="56"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219"/>
  <sheetViews>
    <sheetView zoomScale="55" zoomScaleNormal="55" workbookViewId="0">
      <selection activeCell="J4" sqref="J4"/>
    </sheetView>
  </sheetViews>
  <sheetFormatPr defaultRowHeight="15" x14ac:dyDescent="0.25"/>
  <cols>
    <col min="1" max="1" width="19.28515625" style="183" customWidth="1"/>
    <col min="2" max="2" width="17.5703125" style="183" customWidth="1"/>
    <col min="3" max="3" width="19.28515625" style="183" customWidth="1"/>
    <col min="4" max="4" width="89" style="183" customWidth="1"/>
    <col min="5" max="5" width="12.5703125" style="183" customWidth="1"/>
    <col min="6" max="6" width="13.28515625" style="183" customWidth="1"/>
    <col min="7" max="7" width="17.7109375" style="183" bestFit="1" customWidth="1"/>
    <col min="8" max="9" width="21.5703125" style="183" customWidth="1"/>
    <col min="10" max="10" width="26.42578125" style="183" customWidth="1"/>
    <col min="11" max="11" width="35.28515625" style="187" bestFit="1" customWidth="1"/>
    <col min="12" max="12" width="24.28515625" style="183" bestFit="1" customWidth="1"/>
    <col min="13" max="13" width="9.140625" style="183"/>
    <col min="14" max="14" width="14.5703125" style="183" bestFit="1" customWidth="1"/>
    <col min="15" max="16384" width="9.140625" style="183"/>
  </cols>
  <sheetData>
    <row r="1" spans="1:17" ht="93" customHeight="1" thickBot="1" x14ac:dyDescent="0.3">
      <c r="A1" s="442" t="s">
        <v>1</v>
      </c>
      <c r="B1" s="443"/>
      <c r="C1" s="443"/>
      <c r="D1" s="443"/>
      <c r="E1" s="443"/>
      <c r="F1" s="443"/>
      <c r="G1" s="443"/>
      <c r="H1" s="443"/>
      <c r="I1" s="443"/>
      <c r="J1" s="444"/>
      <c r="N1" s="175"/>
      <c r="O1" s="265"/>
      <c r="P1" s="175"/>
      <c r="Q1" s="266"/>
    </row>
    <row r="2" spans="1:17" ht="18" customHeight="1" x14ac:dyDescent="0.25">
      <c r="A2" s="141" t="s">
        <v>235</v>
      </c>
      <c r="B2" s="223" t="s">
        <v>118</v>
      </c>
      <c r="C2" s="246"/>
      <c r="D2" s="25"/>
      <c r="E2" s="26"/>
      <c r="F2" s="26"/>
      <c r="G2" s="26"/>
      <c r="H2" s="247"/>
      <c r="I2" s="247"/>
      <c r="J2" s="248">
        <f>BDI!$Z$21</f>
        <v>0.22470000000000001</v>
      </c>
      <c r="N2" s="217"/>
      <c r="O2" s="265"/>
      <c r="P2" s="175"/>
      <c r="Q2" s="266"/>
    </row>
    <row r="3" spans="1:17" ht="18.75" customHeight="1" x14ac:dyDescent="0.25">
      <c r="A3" s="142" t="s">
        <v>236</v>
      </c>
      <c r="B3" s="226" t="s">
        <v>121</v>
      </c>
      <c r="C3" s="249"/>
      <c r="D3" s="131"/>
      <c r="E3" s="130"/>
      <c r="F3" s="130"/>
      <c r="G3" s="130"/>
      <c r="H3" s="250"/>
      <c r="I3" s="250"/>
      <c r="J3" s="251" t="str">
        <f>Resumo!D3</f>
        <v>REV_03</v>
      </c>
      <c r="N3" s="217"/>
      <c r="O3" s="265"/>
      <c r="P3" s="175"/>
      <c r="Q3" s="266"/>
    </row>
    <row r="4" spans="1:17" ht="19.5" customHeight="1" thickBot="1" x14ac:dyDescent="0.3">
      <c r="A4" s="143" t="s">
        <v>87</v>
      </c>
      <c r="B4" s="229" t="s">
        <v>635</v>
      </c>
      <c r="C4" s="144"/>
      <c r="D4" s="28"/>
      <c r="E4" s="29"/>
      <c r="F4" s="29"/>
      <c r="G4" s="29"/>
      <c r="H4" s="252"/>
      <c r="I4" s="252"/>
      <c r="J4" s="253" t="str">
        <f>Resumo!$D$4</f>
        <v>NOVEMBRO_2023</v>
      </c>
      <c r="N4" s="217"/>
      <c r="O4" s="265"/>
      <c r="P4" s="175"/>
      <c r="Q4" s="266"/>
    </row>
    <row r="5" spans="1:17" ht="19.5" customHeight="1" thickBot="1" x14ac:dyDescent="0.3">
      <c r="A5" s="445"/>
      <c r="B5" s="446"/>
      <c r="C5" s="446"/>
      <c r="D5" s="446"/>
      <c r="E5" s="446"/>
      <c r="F5" s="446"/>
      <c r="G5" s="446"/>
      <c r="H5" s="446"/>
      <c r="I5" s="446"/>
      <c r="J5" s="447"/>
    </row>
    <row r="6" spans="1:17" s="1" customFormat="1" ht="28.5" customHeight="1" thickBot="1" x14ac:dyDescent="0.3">
      <c r="A6" s="450" t="s">
        <v>1</v>
      </c>
      <c r="B6" s="451"/>
      <c r="C6" s="452"/>
      <c r="D6" s="452"/>
      <c r="E6" s="452"/>
      <c r="F6" s="452"/>
      <c r="G6" s="452"/>
      <c r="H6" s="452"/>
      <c r="I6" s="452"/>
      <c r="J6" s="452"/>
      <c r="K6" s="255"/>
      <c r="N6" s="2"/>
    </row>
    <row r="7" spans="1:17" s="1" customFormat="1" ht="57" customHeight="1" thickBot="1" x14ac:dyDescent="0.3">
      <c r="A7" s="136" t="s">
        <v>89</v>
      </c>
      <c r="B7" s="137" t="s">
        <v>618</v>
      </c>
      <c r="C7" s="138" t="s">
        <v>619</v>
      </c>
      <c r="D7" s="138" t="s">
        <v>90</v>
      </c>
      <c r="E7" s="139" t="s">
        <v>177</v>
      </c>
      <c r="F7" s="139" t="s">
        <v>271</v>
      </c>
      <c r="G7" s="139" t="s">
        <v>620</v>
      </c>
      <c r="H7" s="139" t="s">
        <v>621</v>
      </c>
      <c r="I7" s="139" t="s">
        <v>622</v>
      </c>
      <c r="J7" s="140" t="s">
        <v>630</v>
      </c>
      <c r="K7" s="255"/>
      <c r="N7" s="2"/>
    </row>
    <row r="8" spans="1:17" x14ac:dyDescent="0.25">
      <c r="A8" s="453"/>
      <c r="B8" s="454"/>
      <c r="C8" s="454"/>
      <c r="D8" s="454"/>
      <c r="E8" s="454"/>
      <c r="F8" s="454"/>
      <c r="G8" s="454"/>
      <c r="H8" s="454"/>
      <c r="I8" s="454"/>
      <c r="J8" s="455"/>
      <c r="L8" s="191"/>
    </row>
    <row r="9" spans="1:17" s="267" customFormat="1" x14ac:dyDescent="0.25">
      <c r="A9" s="3">
        <v>1</v>
      </c>
      <c r="B9" s="4"/>
      <c r="C9" s="4"/>
      <c r="D9" s="4" t="s">
        <v>34</v>
      </c>
      <c r="E9" s="4"/>
      <c r="F9" s="4"/>
      <c r="G9" s="305"/>
      <c r="H9" s="305"/>
      <c r="I9" s="305">
        <f>SUM(I10:I11)</f>
        <v>34491.162500000006</v>
      </c>
      <c r="J9" s="306">
        <f>SUM(J10:J11)</f>
        <v>42241.326713750001</v>
      </c>
      <c r="K9" s="206"/>
      <c r="N9" s="268"/>
    </row>
    <row r="10" spans="1:17" x14ac:dyDescent="0.25">
      <c r="A10" s="184" t="s">
        <v>48</v>
      </c>
      <c r="B10" s="184" t="s">
        <v>9</v>
      </c>
      <c r="C10" s="184" t="s">
        <v>8</v>
      </c>
      <c r="D10" s="184" t="s">
        <v>3</v>
      </c>
      <c r="E10" s="184" t="s">
        <v>91</v>
      </c>
      <c r="F10" s="185">
        <f>MC!$J$9</f>
        <v>0.625</v>
      </c>
      <c r="G10" s="189">
        <v>19811.82</v>
      </c>
      <c r="H10" s="189">
        <f>G10*(1+$J$2)</f>
        <v>24263.535953999999</v>
      </c>
      <c r="I10" s="189">
        <f>G10*F10</f>
        <v>12382.387500000001</v>
      </c>
      <c r="J10" s="189">
        <f>H10*F10</f>
        <v>15164.709971249998</v>
      </c>
      <c r="L10" s="191"/>
    </row>
    <row r="11" spans="1:17" x14ac:dyDescent="0.25">
      <c r="A11" s="184" t="s">
        <v>49</v>
      </c>
      <c r="B11" s="184" t="s">
        <v>628</v>
      </c>
      <c r="C11" s="184" t="s">
        <v>8</v>
      </c>
      <c r="D11" s="184" t="s">
        <v>4</v>
      </c>
      <c r="E11" s="184" t="s">
        <v>91</v>
      </c>
      <c r="F11" s="185">
        <f>MC!$J$12</f>
        <v>2.5</v>
      </c>
      <c r="G11" s="189">
        <v>8843.51</v>
      </c>
      <c r="H11" s="189">
        <f>G11*(1+$J$2)</f>
        <v>10830.646697</v>
      </c>
      <c r="I11" s="189">
        <f>G11*F11</f>
        <v>22108.775000000001</v>
      </c>
      <c r="J11" s="189">
        <f>H11*F11</f>
        <v>27076.616742500002</v>
      </c>
      <c r="L11" s="191"/>
    </row>
    <row r="12" spans="1:17" x14ac:dyDescent="0.25">
      <c r="A12" s="448"/>
      <c r="B12" s="449"/>
      <c r="C12" s="449"/>
      <c r="D12" s="449"/>
      <c r="E12" s="449"/>
      <c r="F12" s="449"/>
      <c r="G12" s="449"/>
      <c r="H12" s="449"/>
      <c r="I12" s="449"/>
      <c r="J12" s="441"/>
    </row>
    <row r="13" spans="1:17" s="267" customFormat="1" x14ac:dyDescent="0.25">
      <c r="A13" s="3">
        <v>2</v>
      </c>
      <c r="B13" s="4"/>
      <c r="C13" s="4"/>
      <c r="D13" s="4" t="s">
        <v>35</v>
      </c>
      <c r="E13" s="4"/>
      <c r="F13" s="4"/>
      <c r="G13" s="309"/>
      <c r="H13" s="309"/>
      <c r="I13" s="305">
        <f ca="1">SUM(I14:I21)</f>
        <v>2206.4708885217929</v>
      </c>
      <c r="J13" s="306">
        <f ca="1">SUM(J14:J21)</f>
        <v>2702.2648971726385</v>
      </c>
      <c r="K13" s="206"/>
      <c r="L13" s="269"/>
      <c r="N13" s="268"/>
    </row>
    <row r="14" spans="1:17" ht="30" x14ac:dyDescent="0.25">
      <c r="A14" s="184" t="s">
        <v>50</v>
      </c>
      <c r="B14" s="184" t="s">
        <v>629</v>
      </c>
      <c r="C14" s="184" t="s">
        <v>8</v>
      </c>
      <c r="D14" s="78" t="s">
        <v>603</v>
      </c>
      <c r="E14" s="184" t="s">
        <v>82</v>
      </c>
      <c r="F14" s="193">
        <v>5.0000000000000001E-3</v>
      </c>
      <c r="G14" s="186">
        <f ca="1">SUM(I9,I15:I21,I23,I39,I44,I55,I64,I102,I124,I160,I165,I182,I196,I199,I207,I189,I203)</f>
        <v>273891.87770435854</v>
      </c>
      <c r="H14" s="186">
        <f ca="1">G14*(1+$J$2)</f>
        <v>335435.38262452791</v>
      </c>
      <c r="I14" s="189">
        <f ca="1">G14*F14</f>
        <v>1369.4593885217928</v>
      </c>
      <c r="J14" s="189">
        <f ca="1">H14*F14</f>
        <v>1677.1769131226395</v>
      </c>
    </row>
    <row r="15" spans="1:17" x14ac:dyDescent="0.25">
      <c r="A15" s="184" t="s">
        <v>51</v>
      </c>
      <c r="B15" s="184" t="s">
        <v>10</v>
      </c>
      <c r="C15" s="184" t="s">
        <v>319</v>
      </c>
      <c r="D15" s="78" t="s">
        <v>243</v>
      </c>
      <c r="E15" s="184" t="s">
        <v>468</v>
      </c>
      <c r="F15" s="185">
        <v>1</v>
      </c>
      <c r="G15" s="189">
        <v>254.59</v>
      </c>
      <c r="H15" s="189">
        <f t="shared" ref="H15:H19" si="0">G15*(1+$J$2)</f>
        <v>311.79637299999996</v>
      </c>
      <c r="I15" s="189">
        <f t="shared" ref="I15:I21" si="1">G15*F15</f>
        <v>254.59</v>
      </c>
      <c r="J15" s="189">
        <f t="shared" ref="J15:J21" si="2">H15*F15</f>
        <v>311.79637299999996</v>
      </c>
      <c r="L15" s="191"/>
      <c r="N15" s="191"/>
    </row>
    <row r="16" spans="1:17" ht="30" x14ac:dyDescent="0.25">
      <c r="A16" s="184" t="s">
        <v>52</v>
      </c>
      <c r="B16" s="184" t="s">
        <v>322</v>
      </c>
      <c r="C16" s="184" t="s">
        <v>8</v>
      </c>
      <c r="D16" s="78" t="s">
        <v>320</v>
      </c>
      <c r="E16" s="184" t="s">
        <v>114</v>
      </c>
      <c r="F16" s="185">
        <f>37.41+41.96+35.36</f>
        <v>114.73</v>
      </c>
      <c r="G16" s="189">
        <v>0.85</v>
      </c>
      <c r="H16" s="189">
        <f t="shared" ref="H16" si="3">G16*(1+$J$2)</f>
        <v>1.0409949999999999</v>
      </c>
      <c r="I16" s="189">
        <f t="shared" si="1"/>
        <v>97.520499999999998</v>
      </c>
      <c r="J16" s="189">
        <f t="shared" si="2"/>
        <v>119.43335635</v>
      </c>
    </row>
    <row r="17" spans="1:14" ht="30" x14ac:dyDescent="0.25">
      <c r="A17" s="184" t="s">
        <v>241</v>
      </c>
      <c r="B17" s="184" t="s">
        <v>10</v>
      </c>
      <c r="C17" s="184" t="s">
        <v>319</v>
      </c>
      <c r="D17" s="78" t="s">
        <v>321</v>
      </c>
      <c r="E17" s="184" t="s">
        <v>468</v>
      </c>
      <c r="F17" s="185">
        <v>1</v>
      </c>
      <c r="G17" s="189">
        <v>96.62</v>
      </c>
      <c r="H17" s="189">
        <f t="shared" si="0"/>
        <v>118.33051399999999</v>
      </c>
      <c r="I17" s="189">
        <f t="shared" si="1"/>
        <v>96.62</v>
      </c>
      <c r="J17" s="189">
        <f t="shared" si="2"/>
        <v>118.33051399999999</v>
      </c>
      <c r="N17" s="191"/>
    </row>
    <row r="18" spans="1:14" x14ac:dyDescent="0.25">
      <c r="A18" s="184" t="s">
        <v>242</v>
      </c>
      <c r="B18" s="184" t="s">
        <v>322</v>
      </c>
      <c r="C18" s="184" t="s">
        <v>8</v>
      </c>
      <c r="D18" s="78" t="s">
        <v>237</v>
      </c>
      <c r="E18" s="184" t="s">
        <v>114</v>
      </c>
      <c r="F18" s="185">
        <f>$F$16</f>
        <v>114.73</v>
      </c>
      <c r="G18" s="189">
        <v>0.85</v>
      </c>
      <c r="H18" s="189">
        <f t="shared" si="0"/>
        <v>1.0409949999999999</v>
      </c>
      <c r="I18" s="189">
        <f t="shared" si="1"/>
        <v>97.520499999999998</v>
      </c>
      <c r="J18" s="189">
        <f t="shared" si="2"/>
        <v>119.43335635</v>
      </c>
    </row>
    <row r="19" spans="1:14" ht="30" x14ac:dyDescent="0.25">
      <c r="A19" s="184" t="s">
        <v>475</v>
      </c>
      <c r="B19" s="184" t="s">
        <v>10</v>
      </c>
      <c r="C19" s="184" t="s">
        <v>319</v>
      </c>
      <c r="D19" s="78" t="s">
        <v>238</v>
      </c>
      <c r="E19" s="184" t="s">
        <v>468</v>
      </c>
      <c r="F19" s="185">
        <v>1</v>
      </c>
      <c r="G19" s="189">
        <v>96.62</v>
      </c>
      <c r="H19" s="189">
        <f t="shared" si="0"/>
        <v>118.33051399999999</v>
      </c>
      <c r="I19" s="189">
        <f t="shared" si="1"/>
        <v>96.62</v>
      </c>
      <c r="J19" s="189">
        <f t="shared" si="2"/>
        <v>118.33051399999999</v>
      </c>
      <c r="N19" s="191"/>
    </row>
    <row r="20" spans="1:14" ht="30" x14ac:dyDescent="0.25">
      <c r="A20" s="184" t="s">
        <v>476</v>
      </c>
      <c r="B20" s="184" t="s">
        <v>322</v>
      </c>
      <c r="C20" s="184" t="s">
        <v>8</v>
      </c>
      <c r="D20" s="78" t="s">
        <v>239</v>
      </c>
      <c r="E20" s="184" t="s">
        <v>114</v>
      </c>
      <c r="F20" s="185">
        <f>$F$16</f>
        <v>114.73</v>
      </c>
      <c r="G20" s="189">
        <v>0.85</v>
      </c>
      <c r="H20" s="189">
        <f t="shared" ref="H20:H21" si="4">G20*(1+$J$2)</f>
        <v>1.0409949999999999</v>
      </c>
      <c r="I20" s="189">
        <f t="shared" si="1"/>
        <v>97.520499999999998</v>
      </c>
      <c r="J20" s="189">
        <f t="shared" si="2"/>
        <v>119.43335635</v>
      </c>
    </row>
    <row r="21" spans="1:14" ht="30" x14ac:dyDescent="0.25">
      <c r="A21" s="184" t="s">
        <v>284</v>
      </c>
      <c r="B21" s="184" t="s">
        <v>10</v>
      </c>
      <c r="C21" s="184" t="s">
        <v>319</v>
      </c>
      <c r="D21" s="78" t="s">
        <v>240</v>
      </c>
      <c r="E21" s="184" t="s">
        <v>468</v>
      </c>
      <c r="F21" s="185">
        <v>1</v>
      </c>
      <c r="G21" s="189">
        <v>96.62</v>
      </c>
      <c r="H21" s="189">
        <f t="shared" si="4"/>
        <v>118.33051399999999</v>
      </c>
      <c r="I21" s="189">
        <f t="shared" si="1"/>
        <v>96.62</v>
      </c>
      <c r="J21" s="189">
        <f t="shared" si="2"/>
        <v>118.33051399999999</v>
      </c>
      <c r="N21" s="191"/>
    </row>
    <row r="22" spans="1:14" x14ac:dyDescent="0.25">
      <c r="A22" s="448"/>
      <c r="B22" s="449"/>
      <c r="C22" s="449"/>
      <c r="D22" s="449"/>
      <c r="E22" s="449"/>
      <c r="F22" s="449"/>
      <c r="G22" s="449"/>
      <c r="H22" s="449"/>
      <c r="I22" s="449"/>
      <c r="J22" s="441"/>
    </row>
    <row r="23" spans="1:14" s="267" customFormat="1" x14ac:dyDescent="0.25">
      <c r="A23" s="3">
        <v>3</v>
      </c>
      <c r="B23" s="4"/>
      <c r="C23" s="4"/>
      <c r="D23" s="4" t="s">
        <v>11</v>
      </c>
      <c r="E23" s="4"/>
      <c r="F23" s="4"/>
      <c r="G23" s="309"/>
      <c r="H23" s="309"/>
      <c r="I23" s="305">
        <f>SUM(I24:I37)</f>
        <v>8295.7245447212699</v>
      </c>
      <c r="J23" s="305">
        <f>SUM(J24:J37)</f>
        <v>10159.773849920139</v>
      </c>
      <c r="K23" s="206"/>
      <c r="N23" s="268"/>
    </row>
    <row r="24" spans="1:14" ht="45" x14ac:dyDescent="0.25">
      <c r="A24" s="192" t="s">
        <v>53</v>
      </c>
      <c r="B24" s="192" t="s">
        <v>12</v>
      </c>
      <c r="C24" s="184" t="s">
        <v>8</v>
      </c>
      <c r="D24" s="211" t="s">
        <v>323</v>
      </c>
      <c r="E24" s="192" t="s">
        <v>164</v>
      </c>
      <c r="F24" s="212">
        <f>MC!$J$16</f>
        <v>45</v>
      </c>
      <c r="G24" s="189">
        <v>10.5</v>
      </c>
      <c r="H24" s="189">
        <f t="shared" ref="H24:H34" si="5">G24*(1+$J$2)</f>
        <v>12.859349999999999</v>
      </c>
      <c r="I24" s="189">
        <f>G24*F24</f>
        <v>472.5</v>
      </c>
      <c r="J24" s="189">
        <f>H24*F24</f>
        <v>578.67075</v>
      </c>
    </row>
    <row r="25" spans="1:14" ht="45" x14ac:dyDescent="0.25">
      <c r="A25" s="192" t="s">
        <v>54</v>
      </c>
      <c r="B25" s="184" t="s">
        <v>324</v>
      </c>
      <c r="C25" s="184" t="s">
        <v>8</v>
      </c>
      <c r="D25" s="78" t="s">
        <v>325</v>
      </c>
      <c r="E25" s="184" t="s">
        <v>114</v>
      </c>
      <c r="F25" s="185">
        <f>MC!$J$24</f>
        <v>111.02000000000001</v>
      </c>
      <c r="G25" s="213">
        <v>5.46</v>
      </c>
      <c r="H25" s="189">
        <f t="shared" si="5"/>
        <v>6.6868619999999996</v>
      </c>
      <c r="I25" s="189">
        <f t="shared" ref="I25:I37" si="6">G25*F25</f>
        <v>606.16920000000005</v>
      </c>
      <c r="J25" s="189">
        <f t="shared" ref="J25:J37" si="7">H25*F25</f>
        <v>742.37541924000004</v>
      </c>
    </row>
    <row r="26" spans="1:14" ht="30" x14ac:dyDescent="0.25">
      <c r="A26" s="192" t="s">
        <v>285</v>
      </c>
      <c r="B26" s="184">
        <v>97640</v>
      </c>
      <c r="C26" s="184" t="s">
        <v>19</v>
      </c>
      <c r="D26" s="78" t="s">
        <v>688</v>
      </c>
      <c r="E26" s="185" t="s">
        <v>114</v>
      </c>
      <c r="F26" s="185">
        <f>MC!J30</f>
        <v>85.33</v>
      </c>
      <c r="G26" s="189">
        <v>1.82</v>
      </c>
      <c r="H26" s="189">
        <f t="shared" ref="H26" si="8">G26*(1+$J$2)</f>
        <v>2.2289539999999999</v>
      </c>
      <c r="I26" s="189">
        <f t="shared" ref="I26" si="9">G26*F26</f>
        <v>155.3006</v>
      </c>
      <c r="J26" s="189">
        <f t="shared" ref="J26" si="10">H26*F26</f>
        <v>190.19664481999999</v>
      </c>
    </row>
    <row r="27" spans="1:14" ht="30" x14ac:dyDescent="0.25">
      <c r="A27" s="192" t="s">
        <v>55</v>
      </c>
      <c r="B27" s="184" t="s">
        <v>327</v>
      </c>
      <c r="C27" s="184" t="s">
        <v>176</v>
      </c>
      <c r="D27" s="78" t="s">
        <v>326</v>
      </c>
      <c r="E27" s="185" t="s">
        <v>114</v>
      </c>
      <c r="F27" s="185">
        <f>MC!$J$33</f>
        <v>15.065000000000001</v>
      </c>
      <c r="G27" s="189">
        <f>CPU!$H$8</f>
        <v>10.711251558000001</v>
      </c>
      <c r="H27" s="189">
        <f t="shared" si="5"/>
        <v>13.1180697830826</v>
      </c>
      <c r="I27" s="189">
        <f t="shared" si="6"/>
        <v>161.36500472127003</v>
      </c>
      <c r="J27" s="189">
        <f t="shared" si="7"/>
        <v>197.62372128213937</v>
      </c>
    </row>
    <row r="28" spans="1:14" ht="30" x14ac:dyDescent="0.25">
      <c r="A28" s="192" t="s">
        <v>56</v>
      </c>
      <c r="B28" s="184" t="s">
        <v>106</v>
      </c>
      <c r="C28" s="184" t="s">
        <v>8</v>
      </c>
      <c r="D28" s="78" t="s">
        <v>328</v>
      </c>
      <c r="E28" s="185" t="s">
        <v>114</v>
      </c>
      <c r="F28" s="185">
        <f>MC!$J$36</f>
        <v>14.458</v>
      </c>
      <c r="G28" s="189">
        <v>150.03</v>
      </c>
      <c r="H28" s="189">
        <f t="shared" si="5"/>
        <v>183.74174099999999</v>
      </c>
      <c r="I28" s="189">
        <f t="shared" si="6"/>
        <v>2169.1337400000002</v>
      </c>
      <c r="J28" s="189">
        <f t="shared" si="7"/>
        <v>2656.538091378</v>
      </c>
    </row>
    <row r="29" spans="1:14" ht="45" x14ac:dyDescent="0.25">
      <c r="A29" s="192" t="s">
        <v>477</v>
      </c>
      <c r="B29" s="184" t="s">
        <v>330</v>
      </c>
      <c r="C29" s="184" t="s">
        <v>8</v>
      </c>
      <c r="D29" s="78" t="s">
        <v>329</v>
      </c>
      <c r="E29" s="185" t="s">
        <v>114</v>
      </c>
      <c r="F29" s="185">
        <f>MC!J39</f>
        <v>1.6800000000000002</v>
      </c>
      <c r="G29" s="189">
        <v>13.2</v>
      </c>
      <c r="H29" s="189">
        <f t="shared" si="5"/>
        <v>16.166039999999999</v>
      </c>
      <c r="I29" s="189">
        <f t="shared" si="6"/>
        <v>22.176000000000002</v>
      </c>
      <c r="J29" s="189">
        <f t="shared" si="7"/>
        <v>27.1589472</v>
      </c>
    </row>
    <row r="30" spans="1:14" ht="45" x14ac:dyDescent="0.25">
      <c r="A30" s="192" t="s">
        <v>478</v>
      </c>
      <c r="B30" s="184" t="s">
        <v>107</v>
      </c>
      <c r="C30" s="184" t="s">
        <v>8</v>
      </c>
      <c r="D30" s="78" t="s">
        <v>331</v>
      </c>
      <c r="E30" s="185" t="s">
        <v>114</v>
      </c>
      <c r="F30" s="185">
        <f>MC!$J$42</f>
        <v>13.11</v>
      </c>
      <c r="G30" s="189">
        <v>18.329999999999998</v>
      </c>
      <c r="H30" s="189">
        <f t="shared" ref="H30" si="11">G30*(1+$J$2)</f>
        <v>22.448750999999994</v>
      </c>
      <c r="I30" s="189">
        <f t="shared" si="6"/>
        <v>240.30629999999996</v>
      </c>
      <c r="J30" s="189">
        <f t="shared" si="7"/>
        <v>294.30312560999994</v>
      </c>
    </row>
    <row r="31" spans="1:14" ht="30" x14ac:dyDescent="0.25">
      <c r="A31" s="192" t="s">
        <v>286</v>
      </c>
      <c r="B31" s="184" t="s">
        <v>332</v>
      </c>
      <c r="C31" s="184" t="s">
        <v>176</v>
      </c>
      <c r="D31" s="78" t="s">
        <v>315</v>
      </c>
      <c r="E31" s="185" t="s">
        <v>164</v>
      </c>
      <c r="F31" s="185">
        <f>MC!$J$45</f>
        <v>29</v>
      </c>
      <c r="G31" s="189">
        <f>CPU!$H$13</f>
        <v>19.760000000000002</v>
      </c>
      <c r="H31" s="189">
        <f t="shared" si="5"/>
        <v>24.200071999999999</v>
      </c>
      <c r="I31" s="189">
        <f t="shared" si="6"/>
        <v>573.04000000000008</v>
      </c>
      <c r="J31" s="189">
        <f t="shared" si="7"/>
        <v>701.80208799999991</v>
      </c>
    </row>
    <row r="32" spans="1:14" x14ac:dyDescent="0.25">
      <c r="A32" s="192" t="s">
        <v>287</v>
      </c>
      <c r="B32" s="184" t="s">
        <v>333</v>
      </c>
      <c r="C32" s="184" t="s">
        <v>176</v>
      </c>
      <c r="D32" s="78" t="s">
        <v>312</v>
      </c>
      <c r="E32" s="184" t="s">
        <v>164</v>
      </c>
      <c r="F32" s="185">
        <f>MC!$J$51</f>
        <v>36</v>
      </c>
      <c r="G32" s="186">
        <f>CPU!H16</f>
        <v>39.520000000000003</v>
      </c>
      <c r="H32" s="186">
        <f t="shared" ref="H32:H33" si="12">G32*(1+$J$2)</f>
        <v>48.400143999999997</v>
      </c>
      <c r="I32" s="189">
        <f t="shared" si="6"/>
        <v>1422.72</v>
      </c>
      <c r="J32" s="189">
        <f t="shared" si="7"/>
        <v>1742.405184</v>
      </c>
    </row>
    <row r="33" spans="1:14" ht="45" x14ac:dyDescent="0.25">
      <c r="A33" s="192" t="s">
        <v>479</v>
      </c>
      <c r="B33" s="184" t="s">
        <v>639</v>
      </c>
      <c r="C33" s="184" t="s">
        <v>8</v>
      </c>
      <c r="D33" s="78" t="s">
        <v>638</v>
      </c>
      <c r="E33" s="184" t="s">
        <v>114</v>
      </c>
      <c r="F33" s="185">
        <f>MC!$J$55</f>
        <v>85.33</v>
      </c>
      <c r="G33" s="189">
        <v>16.36</v>
      </c>
      <c r="H33" s="189">
        <f t="shared" si="12"/>
        <v>20.036091999999996</v>
      </c>
      <c r="I33" s="189">
        <f t="shared" ref="I33" si="13">G33*F33</f>
        <v>1395.9987999999998</v>
      </c>
      <c r="J33" s="189">
        <f t="shared" ref="J33" si="14">H33*F33</f>
        <v>1709.6797303599997</v>
      </c>
    </row>
    <row r="34" spans="1:14" ht="45" x14ac:dyDescent="0.25">
      <c r="A34" s="192" t="s">
        <v>288</v>
      </c>
      <c r="B34" s="184" t="s">
        <v>335</v>
      </c>
      <c r="C34" s="184" t="s">
        <v>8</v>
      </c>
      <c r="D34" s="78" t="s">
        <v>334</v>
      </c>
      <c r="E34" s="184" t="s">
        <v>114</v>
      </c>
      <c r="F34" s="185">
        <f>MC!J58</f>
        <v>11.92</v>
      </c>
      <c r="G34" s="189">
        <v>20.45</v>
      </c>
      <c r="H34" s="189">
        <f t="shared" si="5"/>
        <v>25.045114999999996</v>
      </c>
      <c r="I34" s="189">
        <f t="shared" si="6"/>
        <v>243.76399999999998</v>
      </c>
      <c r="J34" s="189">
        <f t="shared" si="7"/>
        <v>298.53777079999992</v>
      </c>
    </row>
    <row r="35" spans="1:14" ht="30" x14ac:dyDescent="0.25">
      <c r="A35" s="192" t="s">
        <v>289</v>
      </c>
      <c r="B35" s="184" t="s">
        <v>337</v>
      </c>
      <c r="C35" s="184" t="s">
        <v>8</v>
      </c>
      <c r="D35" s="78" t="s">
        <v>336</v>
      </c>
      <c r="E35" s="184" t="s">
        <v>114</v>
      </c>
      <c r="F35" s="185">
        <f>MC!$J$61</f>
        <v>62.17</v>
      </c>
      <c r="G35" s="213">
        <v>8.67</v>
      </c>
      <c r="H35" s="189">
        <f t="shared" ref="H35" si="15">G35*(1+$J$2)</f>
        <v>10.618148999999999</v>
      </c>
      <c r="I35" s="189">
        <f t="shared" si="6"/>
        <v>539.01390000000004</v>
      </c>
      <c r="J35" s="189">
        <f t="shared" si="7"/>
        <v>660.1303233299999</v>
      </c>
    </row>
    <row r="36" spans="1:14" ht="30" x14ac:dyDescent="0.25">
      <c r="A36" s="192" t="s">
        <v>637</v>
      </c>
      <c r="B36" s="184" t="s">
        <v>13</v>
      </c>
      <c r="C36" s="184" t="s">
        <v>8</v>
      </c>
      <c r="D36" s="78" t="s">
        <v>338</v>
      </c>
      <c r="E36" s="184" t="s">
        <v>156</v>
      </c>
      <c r="F36" s="185">
        <f>MC!$J$65</f>
        <v>95.56</v>
      </c>
      <c r="G36" s="189">
        <v>2.7</v>
      </c>
      <c r="H36" s="189">
        <f>G36*(1+$J$2)</f>
        <v>3.3066900000000001</v>
      </c>
      <c r="I36" s="189">
        <f t="shared" si="6"/>
        <v>258.012</v>
      </c>
      <c r="J36" s="189">
        <f t="shared" si="7"/>
        <v>315.98729640000005</v>
      </c>
    </row>
    <row r="37" spans="1:14" ht="45" x14ac:dyDescent="0.25">
      <c r="A37" s="192" t="s">
        <v>689</v>
      </c>
      <c r="B37" s="184" t="s">
        <v>340</v>
      </c>
      <c r="C37" s="184" t="s">
        <v>8</v>
      </c>
      <c r="D37" s="78" t="s">
        <v>339</v>
      </c>
      <c r="E37" s="184" t="s">
        <v>156</v>
      </c>
      <c r="F37" s="185">
        <f>MC!$J$71</f>
        <v>4.5</v>
      </c>
      <c r="G37" s="186">
        <v>8.0500000000000007</v>
      </c>
      <c r="H37" s="186">
        <f t="shared" ref="H37" si="16">G37*(1+$J$2)</f>
        <v>9.8588350000000009</v>
      </c>
      <c r="I37" s="189">
        <f t="shared" si="6"/>
        <v>36.225000000000001</v>
      </c>
      <c r="J37" s="189">
        <f t="shared" si="7"/>
        <v>44.364757500000003</v>
      </c>
    </row>
    <row r="38" spans="1:14" x14ac:dyDescent="0.25">
      <c r="A38" s="448"/>
      <c r="B38" s="449"/>
      <c r="C38" s="449"/>
      <c r="D38" s="449"/>
      <c r="E38" s="449"/>
      <c r="F38" s="449"/>
      <c r="G38" s="449"/>
      <c r="H38" s="449"/>
      <c r="I38" s="449"/>
      <c r="J38" s="441"/>
    </row>
    <row r="39" spans="1:14" s="267" customFormat="1" x14ac:dyDescent="0.25">
      <c r="A39" s="3">
        <v>4</v>
      </c>
      <c r="B39" s="4"/>
      <c r="C39" s="4"/>
      <c r="D39" s="4" t="s">
        <v>14</v>
      </c>
      <c r="E39" s="4"/>
      <c r="F39" s="4"/>
      <c r="G39" s="309"/>
      <c r="H39" s="309"/>
      <c r="I39" s="305">
        <f>SUM(I40:I42)</f>
        <v>5658.8495900000007</v>
      </c>
      <c r="J39" s="306">
        <f>SUM(J40:J42)</f>
        <v>6930.3930928729997</v>
      </c>
      <c r="K39" s="206"/>
      <c r="N39" s="268"/>
    </row>
    <row r="40" spans="1:14" ht="30" x14ac:dyDescent="0.25">
      <c r="A40" s="184" t="s">
        <v>58</v>
      </c>
      <c r="B40" s="184" t="s">
        <v>15</v>
      </c>
      <c r="C40" s="184" t="s">
        <v>8</v>
      </c>
      <c r="D40" s="78" t="s">
        <v>108</v>
      </c>
      <c r="E40" s="184" t="s">
        <v>114</v>
      </c>
      <c r="F40" s="185">
        <f>MC!$J$75</f>
        <v>157.97</v>
      </c>
      <c r="G40" s="186">
        <v>32.75</v>
      </c>
      <c r="H40" s="186">
        <f t="shared" ref="H40:H41" si="17">G40*(1+$J$2)</f>
        <v>40.108924999999999</v>
      </c>
      <c r="I40" s="189">
        <f>G40*F40</f>
        <v>5173.5174999999999</v>
      </c>
      <c r="J40" s="189">
        <f>H40*F40</f>
        <v>6336.0068822499998</v>
      </c>
    </row>
    <row r="41" spans="1:14" ht="30" x14ac:dyDescent="0.25">
      <c r="A41" s="184" t="s">
        <v>480</v>
      </c>
      <c r="B41" s="184" t="s">
        <v>342</v>
      </c>
      <c r="C41" s="184" t="s">
        <v>8</v>
      </c>
      <c r="D41" s="78" t="s">
        <v>341</v>
      </c>
      <c r="E41" s="184" t="s">
        <v>114</v>
      </c>
      <c r="F41" s="185">
        <f>MC!$J$81</f>
        <v>7.6589999999999998</v>
      </c>
      <c r="G41" s="186">
        <v>34.51</v>
      </c>
      <c r="H41" s="186">
        <f t="shared" si="17"/>
        <v>42.264396999999995</v>
      </c>
      <c r="I41" s="189">
        <f>G41*F41</f>
        <v>264.31208999999996</v>
      </c>
      <c r="J41" s="189">
        <f>H41*F41</f>
        <v>323.70301662299994</v>
      </c>
    </row>
    <row r="42" spans="1:14" x14ac:dyDescent="0.25">
      <c r="A42" s="184" t="s">
        <v>749</v>
      </c>
      <c r="B42" s="184" t="s">
        <v>344</v>
      </c>
      <c r="C42" s="184" t="s">
        <v>176</v>
      </c>
      <c r="D42" s="78" t="s">
        <v>750</v>
      </c>
      <c r="E42" s="184" t="s">
        <v>468</v>
      </c>
      <c r="F42" s="185">
        <f>MC!J84</f>
        <v>2</v>
      </c>
      <c r="G42" s="186">
        <f>CPU!H19</f>
        <v>110.51</v>
      </c>
      <c r="H42" s="186">
        <f t="shared" ref="H42" si="18">G42*(1+$J$2)</f>
        <v>135.34159700000001</v>
      </c>
      <c r="I42" s="189">
        <f>G42*F42</f>
        <v>221.02</v>
      </c>
      <c r="J42" s="189">
        <f>H42*F42</f>
        <v>270.68319400000001</v>
      </c>
    </row>
    <row r="43" spans="1:14" x14ac:dyDescent="0.25">
      <c r="A43" s="448"/>
      <c r="B43" s="449"/>
      <c r="C43" s="449"/>
      <c r="D43" s="449"/>
      <c r="E43" s="449"/>
      <c r="F43" s="449"/>
      <c r="G43" s="449"/>
      <c r="H43" s="449"/>
      <c r="I43" s="449"/>
      <c r="J43" s="441"/>
    </row>
    <row r="44" spans="1:14" s="267" customFormat="1" x14ac:dyDescent="0.25">
      <c r="A44" s="3">
        <v>5</v>
      </c>
      <c r="B44" s="4"/>
      <c r="C44" s="4"/>
      <c r="D44" s="4" t="s">
        <v>686</v>
      </c>
      <c r="E44" s="4"/>
      <c r="F44" s="4"/>
      <c r="G44" s="309"/>
      <c r="H44" s="309"/>
      <c r="I44" s="305">
        <f ca="1">SUM(I45:I53)</f>
        <v>32398.216780531224</v>
      </c>
      <c r="J44" s="305">
        <f ca="1">SUM(J45:J53)</f>
        <v>39678.096091116582</v>
      </c>
      <c r="K44" s="206"/>
      <c r="N44" s="268"/>
    </row>
    <row r="45" spans="1:14" ht="30" x14ac:dyDescent="0.25">
      <c r="A45" s="184" t="s">
        <v>59</v>
      </c>
      <c r="B45" s="184" t="s">
        <v>18</v>
      </c>
      <c r="C45" s="184" t="s">
        <v>8</v>
      </c>
      <c r="D45" s="78" t="s">
        <v>343</v>
      </c>
      <c r="E45" s="184" t="s">
        <v>114</v>
      </c>
      <c r="F45" s="185">
        <f>MC!J88</f>
        <v>2.2483000000000004</v>
      </c>
      <c r="G45" s="214">
        <v>55.02</v>
      </c>
      <c r="H45" s="186">
        <f t="shared" ref="H45:H53" si="19">G45*(1+$J$2)</f>
        <v>67.382993999999997</v>
      </c>
      <c r="I45" s="189">
        <f>G45*F45</f>
        <v>123.70146600000002</v>
      </c>
      <c r="J45" s="189">
        <f>H45*F45</f>
        <v>151.49718541020002</v>
      </c>
    </row>
    <row r="46" spans="1:14" ht="30" x14ac:dyDescent="0.25">
      <c r="A46" s="184" t="s">
        <v>481</v>
      </c>
      <c r="B46" s="184" t="s">
        <v>782</v>
      </c>
      <c r="C46" s="184" t="s">
        <v>176</v>
      </c>
      <c r="D46" s="78" t="s">
        <v>797</v>
      </c>
      <c r="E46" s="184" t="s">
        <v>114</v>
      </c>
      <c r="F46" s="185">
        <f>MC!$J$94</f>
        <v>35.36</v>
      </c>
      <c r="G46" s="186">
        <f ca="1">CPU!$H$26</f>
        <v>172.63745471830987</v>
      </c>
      <c r="H46" s="186">
        <f t="shared" ref="H46:H48" ca="1" si="20">G46*(1+$J$2)</f>
        <v>211.42909079351409</v>
      </c>
      <c r="I46" s="189">
        <f t="shared" ref="I46:I53" ca="1" si="21">G46*F46</f>
        <v>6104.4603988394365</v>
      </c>
      <c r="J46" s="189">
        <f t="shared" ref="J46:J53" ca="1" si="22">H46*F46</f>
        <v>7476.1326504586577</v>
      </c>
    </row>
    <row r="47" spans="1:14" ht="30" x14ac:dyDescent="0.25">
      <c r="A47" s="184" t="s">
        <v>61</v>
      </c>
      <c r="B47" s="184" t="s">
        <v>345</v>
      </c>
      <c r="C47" s="184" t="s">
        <v>176</v>
      </c>
      <c r="D47" s="78" t="s">
        <v>798</v>
      </c>
      <c r="E47" s="184" t="s">
        <v>114</v>
      </c>
      <c r="F47" s="185">
        <f>MC!$J$97</f>
        <v>37.409999999999997</v>
      </c>
      <c r="G47" s="186">
        <f ca="1">CPU!$H$36</f>
        <v>192.2753038644689</v>
      </c>
      <c r="H47" s="186">
        <f t="shared" ca="1" si="20"/>
        <v>235.47956464281503</v>
      </c>
      <c r="I47" s="189">
        <f t="shared" ca="1" si="21"/>
        <v>7193.019117569781</v>
      </c>
      <c r="J47" s="189">
        <f t="shared" ca="1" si="22"/>
        <v>8809.2905132877095</v>
      </c>
    </row>
    <row r="48" spans="1:14" ht="45" x14ac:dyDescent="0.25">
      <c r="A48" s="184" t="s">
        <v>62</v>
      </c>
      <c r="B48" s="184" t="s">
        <v>783</v>
      </c>
      <c r="C48" s="184" t="s">
        <v>176</v>
      </c>
      <c r="D48" s="78" t="s">
        <v>670</v>
      </c>
      <c r="E48" s="184" t="s">
        <v>114</v>
      </c>
      <c r="F48" s="185">
        <f>MC!$J$100</f>
        <v>85.33</v>
      </c>
      <c r="G48" s="186">
        <f>CPU!H46</f>
        <v>79.111449888999999</v>
      </c>
      <c r="H48" s="186">
        <f t="shared" si="20"/>
        <v>96.887792679058293</v>
      </c>
      <c r="I48" s="189">
        <f t="shared" si="21"/>
        <v>6750.5800190283699</v>
      </c>
      <c r="J48" s="189">
        <f t="shared" si="22"/>
        <v>8267.4353493040435</v>
      </c>
    </row>
    <row r="49" spans="1:14" ht="30" x14ac:dyDescent="0.25">
      <c r="A49" s="184" t="s">
        <v>63</v>
      </c>
      <c r="B49" s="184" t="s">
        <v>784</v>
      </c>
      <c r="C49" s="184" t="s">
        <v>176</v>
      </c>
      <c r="D49" s="78" t="s">
        <v>471</v>
      </c>
      <c r="E49" s="184" t="s">
        <v>114</v>
      </c>
      <c r="F49" s="185">
        <f>MC!$J$103</f>
        <v>42.5</v>
      </c>
      <c r="G49" s="186">
        <f ca="1">CPU!$H$63</f>
        <v>192.2753038644689</v>
      </c>
      <c r="H49" s="186">
        <f t="shared" ca="1" si="19"/>
        <v>235.47956464281503</v>
      </c>
      <c r="I49" s="189">
        <f t="shared" ca="1" si="21"/>
        <v>8171.7004142399283</v>
      </c>
      <c r="J49" s="189">
        <f t="shared" ca="1" si="22"/>
        <v>10007.881497319639</v>
      </c>
    </row>
    <row r="50" spans="1:14" ht="30" x14ac:dyDescent="0.25">
      <c r="A50" s="184" t="s">
        <v>57</v>
      </c>
      <c r="B50" s="184">
        <v>96358</v>
      </c>
      <c r="C50" s="78" t="s">
        <v>19</v>
      </c>
      <c r="D50" s="78" t="s">
        <v>110</v>
      </c>
      <c r="E50" s="184" t="s">
        <v>114</v>
      </c>
      <c r="F50" s="185">
        <f>MC!$J$106</f>
        <v>1.5227999999999999</v>
      </c>
      <c r="G50" s="186">
        <v>98.66</v>
      </c>
      <c r="H50" s="186">
        <f t="shared" si="19"/>
        <v>120.82890199999999</v>
      </c>
      <c r="I50" s="189">
        <f t="shared" si="21"/>
        <v>150.23944799999998</v>
      </c>
      <c r="J50" s="189">
        <f t="shared" si="22"/>
        <v>183.99825196559996</v>
      </c>
    </row>
    <row r="51" spans="1:14" ht="30" x14ac:dyDescent="0.25">
      <c r="A51" s="184" t="s">
        <v>279</v>
      </c>
      <c r="B51" s="184">
        <v>96366</v>
      </c>
      <c r="C51" s="184" t="s">
        <v>19</v>
      </c>
      <c r="D51" s="78" t="s">
        <v>109</v>
      </c>
      <c r="E51" s="184" t="s">
        <v>114</v>
      </c>
      <c r="F51" s="185">
        <f>MC!$J$109</f>
        <v>18.474939999999997</v>
      </c>
      <c r="G51" s="186">
        <v>155.91999999999999</v>
      </c>
      <c r="H51" s="186">
        <f t="shared" si="19"/>
        <v>190.95522399999996</v>
      </c>
      <c r="I51" s="189">
        <f t="shared" si="21"/>
        <v>2880.6126447999991</v>
      </c>
      <c r="J51" s="189">
        <f t="shared" si="22"/>
        <v>3527.8863060865588</v>
      </c>
    </row>
    <row r="52" spans="1:14" x14ac:dyDescent="0.25">
      <c r="A52" s="184" t="s">
        <v>280</v>
      </c>
      <c r="B52" s="184" t="s">
        <v>158</v>
      </c>
      <c r="C52" s="184" t="s">
        <v>113</v>
      </c>
      <c r="D52" s="78" t="s">
        <v>111</v>
      </c>
      <c r="E52" s="184" t="s">
        <v>114</v>
      </c>
      <c r="F52" s="185">
        <f>MC!$J$116</f>
        <v>18.474939999999997</v>
      </c>
      <c r="G52" s="186">
        <f ca="1">CPU!$H$73</f>
        <v>45.806203703703702</v>
      </c>
      <c r="H52" s="186">
        <f ca="1">G52*(1+$J$2)</f>
        <v>56.09885767592592</v>
      </c>
      <c r="I52" s="189">
        <f t="shared" ca="1" si="21"/>
        <v>846.26686505370355</v>
      </c>
      <c r="J52" s="189">
        <f t="shared" ca="1" si="22"/>
        <v>1036.4230296312705</v>
      </c>
    </row>
    <row r="53" spans="1:14" ht="30" x14ac:dyDescent="0.25">
      <c r="A53" s="184" t="s">
        <v>282</v>
      </c>
      <c r="B53" s="184" t="s">
        <v>465</v>
      </c>
      <c r="C53" s="184" t="s">
        <v>434</v>
      </c>
      <c r="D53" s="78" t="s">
        <v>466</v>
      </c>
      <c r="E53" s="184" t="s">
        <v>114</v>
      </c>
      <c r="F53" s="185">
        <f>MC!J123</f>
        <v>1.1390600000000002</v>
      </c>
      <c r="G53" s="186">
        <v>155.94999999999999</v>
      </c>
      <c r="H53" s="186">
        <f t="shared" si="19"/>
        <v>190.99196499999996</v>
      </c>
      <c r="I53" s="189">
        <f t="shared" si="21"/>
        <v>177.63640700000002</v>
      </c>
      <c r="J53" s="189">
        <f t="shared" si="22"/>
        <v>217.55130765289999</v>
      </c>
      <c r="K53" s="215"/>
    </row>
    <row r="54" spans="1:14" x14ac:dyDescent="0.25">
      <c r="A54" s="448"/>
      <c r="B54" s="449"/>
      <c r="C54" s="449"/>
      <c r="D54" s="449"/>
      <c r="E54" s="449"/>
      <c r="F54" s="449"/>
      <c r="G54" s="449"/>
      <c r="H54" s="449"/>
      <c r="I54" s="449"/>
      <c r="J54" s="441"/>
    </row>
    <row r="55" spans="1:14" s="267" customFormat="1" x14ac:dyDescent="0.25">
      <c r="A55" s="3">
        <v>6</v>
      </c>
      <c r="B55" s="4"/>
      <c r="C55" s="4"/>
      <c r="D55" s="4" t="s">
        <v>151</v>
      </c>
      <c r="E55" s="4"/>
      <c r="F55" s="4"/>
      <c r="G55" s="309"/>
      <c r="H55" s="309"/>
      <c r="I55" s="305">
        <f ca="1">SUM(I56:I62)</f>
        <v>16990.48457791605</v>
      </c>
      <c r="J55" s="305">
        <f ca="1">SUM(J56:J62)</f>
        <v>20808.246462573781</v>
      </c>
      <c r="K55" s="206"/>
      <c r="N55" s="268"/>
    </row>
    <row r="56" spans="1:14" ht="30" x14ac:dyDescent="0.25">
      <c r="A56" s="184" t="s">
        <v>64</v>
      </c>
      <c r="B56" s="184" t="s">
        <v>159</v>
      </c>
      <c r="C56" s="184" t="s">
        <v>113</v>
      </c>
      <c r="D56" s="78" t="s">
        <v>472</v>
      </c>
      <c r="E56" s="184" t="s">
        <v>114</v>
      </c>
      <c r="F56" s="185">
        <f>MC!$J$127</f>
        <v>72.64</v>
      </c>
      <c r="G56" s="186">
        <f ca="1">CPU!$H$78</f>
        <v>131.52406792991036</v>
      </c>
      <c r="H56" s="186">
        <f t="shared" ref="H56:H62" ca="1" si="23">G56*(1+$J$2)</f>
        <v>161.07752599376121</v>
      </c>
      <c r="I56" s="189">
        <f ca="1">G56*F56</f>
        <v>9553.9082944286893</v>
      </c>
      <c r="J56" s="189">
        <f ca="1">H56*F56</f>
        <v>11700.671488186814</v>
      </c>
    </row>
    <row r="57" spans="1:14" ht="30" x14ac:dyDescent="0.25">
      <c r="A57" s="184" t="s">
        <v>65</v>
      </c>
      <c r="B57" s="184" t="s">
        <v>160</v>
      </c>
      <c r="C57" s="184" t="s">
        <v>113</v>
      </c>
      <c r="D57" s="78" t="s">
        <v>317</v>
      </c>
      <c r="E57" s="184" t="s">
        <v>114</v>
      </c>
      <c r="F57" s="185">
        <f>MC!$J$132</f>
        <v>85.33</v>
      </c>
      <c r="G57" s="186">
        <f ca="1">CPU!$H$84</f>
        <v>69.802399999999992</v>
      </c>
      <c r="H57" s="186">
        <f t="shared" ca="1" si="23"/>
        <v>85.486999279999978</v>
      </c>
      <c r="I57" s="189">
        <f t="shared" ref="I57:I62" ca="1" si="24">G57*F57</f>
        <v>5956.2387919999992</v>
      </c>
      <c r="J57" s="189">
        <f t="shared" ref="J57:J62" ca="1" si="25">H57*F57</f>
        <v>7294.6056485623976</v>
      </c>
    </row>
    <row r="58" spans="1:14" x14ac:dyDescent="0.25">
      <c r="A58" s="184" t="s">
        <v>60</v>
      </c>
      <c r="B58" s="184">
        <v>98689</v>
      </c>
      <c r="C58" s="184" t="s">
        <v>19</v>
      </c>
      <c r="D58" s="78" t="s">
        <v>278</v>
      </c>
      <c r="E58" s="184" t="s">
        <v>114</v>
      </c>
      <c r="F58" s="185">
        <f>MC!$J$135</f>
        <v>0.13500000000000001</v>
      </c>
      <c r="G58" s="186">
        <v>89.31</v>
      </c>
      <c r="H58" s="186">
        <f t="shared" si="23"/>
        <v>109.37795699999999</v>
      </c>
      <c r="I58" s="189">
        <f t="shared" si="24"/>
        <v>12.056850000000001</v>
      </c>
      <c r="J58" s="189">
        <f t="shared" si="25"/>
        <v>14.766024195</v>
      </c>
    </row>
    <row r="59" spans="1:14" ht="30" x14ac:dyDescent="0.25">
      <c r="A59" s="184" t="s">
        <v>66</v>
      </c>
      <c r="B59" s="184" t="s">
        <v>161</v>
      </c>
      <c r="C59" s="184" t="s">
        <v>113</v>
      </c>
      <c r="D59" s="78" t="s">
        <v>473</v>
      </c>
      <c r="E59" s="184" t="s">
        <v>156</v>
      </c>
      <c r="F59" s="185">
        <f>MC!$J$138</f>
        <v>51.42</v>
      </c>
      <c r="G59" s="186">
        <f>CPU!$H$91</f>
        <v>16.406213000000001</v>
      </c>
      <c r="H59" s="186">
        <f t="shared" ref="H59:H61" si="26">G59*(1+$J$2)</f>
        <v>20.0926890611</v>
      </c>
      <c r="I59" s="189">
        <f t="shared" si="24"/>
        <v>843.60747246000005</v>
      </c>
      <c r="J59" s="189">
        <f t="shared" si="25"/>
        <v>1033.166071521762</v>
      </c>
    </row>
    <row r="60" spans="1:14" x14ac:dyDescent="0.25">
      <c r="A60" s="184" t="s">
        <v>482</v>
      </c>
      <c r="B60" s="184">
        <v>98685</v>
      </c>
      <c r="C60" s="184" t="s">
        <v>19</v>
      </c>
      <c r="D60" s="78" t="s">
        <v>346</v>
      </c>
      <c r="E60" s="184" t="s">
        <v>156</v>
      </c>
      <c r="F60" s="185">
        <f>MC!J142</f>
        <v>0.68</v>
      </c>
      <c r="G60" s="186">
        <v>61.95</v>
      </c>
      <c r="H60" s="186">
        <f t="shared" si="26"/>
        <v>75.870165</v>
      </c>
      <c r="I60" s="189">
        <f t="shared" ref="I60:I61" si="27">G60*F60</f>
        <v>42.126000000000005</v>
      </c>
      <c r="J60" s="189">
        <f t="shared" ref="J60:J61" si="28">H60*F60</f>
        <v>51.591712200000003</v>
      </c>
    </row>
    <row r="61" spans="1:14" ht="30" x14ac:dyDescent="0.25">
      <c r="A61" s="184" t="s">
        <v>678</v>
      </c>
      <c r="B61" s="184" t="s">
        <v>162</v>
      </c>
      <c r="C61" s="184" t="s">
        <v>19</v>
      </c>
      <c r="D61" s="78" t="s">
        <v>677</v>
      </c>
      <c r="E61" s="184" t="s">
        <v>156</v>
      </c>
      <c r="F61" s="185">
        <f>MC!J145</f>
        <v>44.32</v>
      </c>
      <c r="G61" s="186">
        <f ca="1">CPU!$H$97</f>
        <v>9.6932169229999996</v>
      </c>
      <c r="H61" s="186">
        <f t="shared" ca="1" si="26"/>
        <v>11.871282765598098</v>
      </c>
      <c r="I61" s="189">
        <f t="shared" ca="1" si="27"/>
        <v>429.60337402735996</v>
      </c>
      <c r="J61" s="189">
        <f t="shared" ca="1" si="28"/>
        <v>526.13525217130768</v>
      </c>
    </row>
    <row r="62" spans="1:14" x14ac:dyDescent="0.25">
      <c r="A62" s="184" t="s">
        <v>679</v>
      </c>
      <c r="B62" s="184">
        <v>98671</v>
      </c>
      <c r="C62" s="184" t="s">
        <v>19</v>
      </c>
      <c r="D62" s="78" t="s">
        <v>676</v>
      </c>
      <c r="E62" s="184" t="s">
        <v>156</v>
      </c>
      <c r="F62" s="185">
        <f>MC!J148</f>
        <v>0.45449999999999996</v>
      </c>
      <c r="G62" s="186">
        <v>336.51</v>
      </c>
      <c r="H62" s="186">
        <f t="shared" si="23"/>
        <v>412.12379699999997</v>
      </c>
      <c r="I62" s="189">
        <f t="shared" si="24"/>
        <v>152.94379499999999</v>
      </c>
      <c r="J62" s="189">
        <f t="shared" si="25"/>
        <v>187.31026573649996</v>
      </c>
    </row>
    <row r="63" spans="1:14" x14ac:dyDescent="0.25">
      <c r="A63" s="439"/>
      <c r="B63" s="440"/>
      <c r="C63" s="440"/>
      <c r="D63" s="440"/>
      <c r="E63" s="440"/>
      <c r="F63" s="440"/>
      <c r="G63" s="440"/>
      <c r="H63" s="440"/>
      <c r="I63" s="440"/>
      <c r="J63" s="441"/>
    </row>
    <row r="64" spans="1:14" s="267" customFormat="1" x14ac:dyDescent="0.25">
      <c r="A64" s="3">
        <v>7</v>
      </c>
      <c r="B64" s="4"/>
      <c r="C64" s="4"/>
      <c r="D64" s="4" t="s">
        <v>170</v>
      </c>
      <c r="E64" s="4"/>
      <c r="F64" s="4"/>
      <c r="G64" s="309"/>
      <c r="H64" s="309"/>
      <c r="I64" s="310">
        <f ca="1">SUM(I65,I67,I75,I86,I91)</f>
        <v>23490.677360000001</v>
      </c>
      <c r="J64" s="310">
        <f ca="1">SUM(J65,J67,J75,J86,J91)</f>
        <v>28769.032562791996</v>
      </c>
      <c r="K64" s="206"/>
      <c r="N64" s="268"/>
    </row>
    <row r="65" spans="1:14" s="270" customFormat="1" x14ac:dyDescent="0.25">
      <c r="A65" s="69" t="s">
        <v>166</v>
      </c>
      <c r="B65" s="70"/>
      <c r="C65" s="70"/>
      <c r="D65" s="70" t="s">
        <v>399</v>
      </c>
      <c r="E65" s="70"/>
      <c r="F65" s="70"/>
      <c r="G65" s="311"/>
      <c r="H65" s="311"/>
      <c r="I65" s="312">
        <f>SUM(I66:I66)</f>
        <v>112.58</v>
      </c>
      <c r="J65" s="313">
        <f>SUM(J66:J66)</f>
        <v>137.87672599999999</v>
      </c>
      <c r="K65" s="206"/>
      <c r="N65" s="271"/>
    </row>
    <row r="66" spans="1:14" x14ac:dyDescent="0.25">
      <c r="A66" s="184" t="s">
        <v>483</v>
      </c>
      <c r="B66" s="184">
        <v>90456</v>
      </c>
      <c r="C66" s="184" t="s">
        <v>19</v>
      </c>
      <c r="D66" s="78" t="s">
        <v>432</v>
      </c>
      <c r="E66" s="184" t="s">
        <v>164</v>
      </c>
      <c r="F66" s="185">
        <f>F92</f>
        <v>26</v>
      </c>
      <c r="G66" s="186">
        <v>4.33</v>
      </c>
      <c r="H66" s="186">
        <f t="shared" ref="H66" si="29">G66*(1+$J$2)</f>
        <v>5.3029509999999993</v>
      </c>
      <c r="I66" s="186">
        <f>G66*F66</f>
        <v>112.58</v>
      </c>
      <c r="J66" s="186">
        <f>H66*F66</f>
        <v>137.87672599999999</v>
      </c>
    </row>
    <row r="67" spans="1:14" s="270" customFormat="1" x14ac:dyDescent="0.25">
      <c r="A67" s="69" t="s">
        <v>167</v>
      </c>
      <c r="B67" s="70"/>
      <c r="C67" s="70"/>
      <c r="D67" s="70" t="s">
        <v>400</v>
      </c>
      <c r="E67" s="70"/>
      <c r="F67" s="70"/>
      <c r="G67" s="311"/>
      <c r="H67" s="311"/>
      <c r="I67" s="312">
        <f ca="1">SUM(I68:I74)</f>
        <v>6946.4899999999989</v>
      </c>
      <c r="J67" s="312">
        <f ca="1">SUM(J68:J74)</f>
        <v>8507.3663030000007</v>
      </c>
      <c r="K67" s="206"/>
      <c r="N67" s="271"/>
    </row>
    <row r="68" spans="1:14" ht="30" x14ac:dyDescent="0.25">
      <c r="A68" s="184" t="s">
        <v>484</v>
      </c>
      <c r="B68" s="184" t="s">
        <v>402</v>
      </c>
      <c r="C68" s="184" t="s">
        <v>8</v>
      </c>
      <c r="D68" s="78" t="s">
        <v>401</v>
      </c>
      <c r="E68" s="184" t="s">
        <v>156</v>
      </c>
      <c r="F68" s="185">
        <v>1226</v>
      </c>
      <c r="G68" s="186">
        <v>4.95</v>
      </c>
      <c r="H68" s="186">
        <f t="shared" ref="H68:H90" si="30">G68*(1+$J$2)</f>
        <v>6.062265</v>
      </c>
      <c r="I68" s="186">
        <f t="shared" ref="I68:I74" si="31">G68*F68</f>
        <v>6068.7</v>
      </c>
      <c r="J68" s="186">
        <f t="shared" ref="J68:J74" si="32">H68*F68</f>
        <v>7432.3368899999996</v>
      </c>
    </row>
    <row r="69" spans="1:14" ht="30" x14ac:dyDescent="0.25">
      <c r="A69" s="184" t="s">
        <v>485</v>
      </c>
      <c r="B69" s="184" t="s">
        <v>440</v>
      </c>
      <c r="C69" s="184" t="s">
        <v>578</v>
      </c>
      <c r="D69" s="78" t="s">
        <v>439</v>
      </c>
      <c r="E69" s="184" t="s">
        <v>156</v>
      </c>
      <c r="F69" s="185">
        <v>40</v>
      </c>
      <c r="G69" s="186">
        <f ca="1">CPU!$H$104</f>
        <v>14.463000000000001</v>
      </c>
      <c r="H69" s="186">
        <f t="shared" ref="H69" ca="1" si="33">G69*(1+$J$2)</f>
        <v>17.712836100000001</v>
      </c>
      <c r="I69" s="186">
        <f t="shared" ca="1" si="31"/>
        <v>578.52</v>
      </c>
      <c r="J69" s="186">
        <f t="shared" ca="1" si="32"/>
        <v>708.51344400000005</v>
      </c>
    </row>
    <row r="70" spans="1:14" x14ac:dyDescent="0.25">
      <c r="A70" s="184" t="s">
        <v>486</v>
      </c>
      <c r="B70" s="184">
        <v>3301</v>
      </c>
      <c r="C70" s="184" t="s">
        <v>153</v>
      </c>
      <c r="D70" s="78" t="s">
        <v>404</v>
      </c>
      <c r="E70" s="184" t="s">
        <v>164</v>
      </c>
      <c r="F70" s="185">
        <f>3*100</f>
        <v>300</v>
      </c>
      <c r="G70" s="186">
        <v>0.28999999999999998</v>
      </c>
      <c r="H70" s="186">
        <f t="shared" si="30"/>
        <v>0.35516299999999995</v>
      </c>
      <c r="I70" s="186">
        <f t="shared" si="31"/>
        <v>87</v>
      </c>
      <c r="J70" s="186">
        <f t="shared" si="32"/>
        <v>106.54889999999999</v>
      </c>
    </row>
    <row r="71" spans="1:14" x14ac:dyDescent="0.25">
      <c r="A71" s="184" t="s">
        <v>487</v>
      </c>
      <c r="B71" s="184">
        <v>4015</v>
      </c>
      <c r="C71" s="184" t="s">
        <v>153</v>
      </c>
      <c r="D71" s="78" t="s">
        <v>403</v>
      </c>
      <c r="E71" s="184" t="s">
        <v>164</v>
      </c>
      <c r="F71" s="185">
        <v>2</v>
      </c>
      <c r="G71" s="186">
        <v>12.6</v>
      </c>
      <c r="H71" s="186">
        <f t="shared" si="30"/>
        <v>15.431219999999998</v>
      </c>
      <c r="I71" s="186">
        <f t="shared" si="31"/>
        <v>25.2</v>
      </c>
      <c r="J71" s="186">
        <f t="shared" si="32"/>
        <v>30.862439999999996</v>
      </c>
    </row>
    <row r="72" spans="1:14" ht="30" customHeight="1" x14ac:dyDescent="0.25">
      <c r="A72" s="184" t="s">
        <v>488</v>
      </c>
      <c r="B72" s="190" t="str">
        <f>'COT.'!$A$146</f>
        <v>COT-25</v>
      </c>
      <c r="C72" s="184" t="s">
        <v>176</v>
      </c>
      <c r="D72" s="78" t="s">
        <v>438</v>
      </c>
      <c r="E72" s="184" t="s">
        <v>164</v>
      </c>
      <c r="F72" s="185">
        <v>3</v>
      </c>
      <c r="G72" s="186">
        <f ca="1">'COT.'!$E$146</f>
        <v>10.54</v>
      </c>
      <c r="H72" s="186">
        <f t="shared" ref="H72" ca="1" si="34">G72*(1+$J$2)</f>
        <v>12.908337999999999</v>
      </c>
      <c r="I72" s="186">
        <f t="shared" ca="1" si="31"/>
        <v>31.619999999999997</v>
      </c>
      <c r="J72" s="186">
        <f t="shared" ca="1" si="32"/>
        <v>38.725013999999994</v>
      </c>
    </row>
    <row r="73" spans="1:14" x14ac:dyDescent="0.25">
      <c r="A73" s="184" t="s">
        <v>728</v>
      </c>
      <c r="B73" s="184" t="s">
        <v>406</v>
      </c>
      <c r="C73" s="184" t="s">
        <v>8</v>
      </c>
      <c r="D73" s="78" t="s">
        <v>405</v>
      </c>
      <c r="E73" s="184" t="s">
        <v>164</v>
      </c>
      <c r="F73" s="185">
        <v>1</v>
      </c>
      <c r="G73" s="186">
        <v>58.45</v>
      </c>
      <c r="H73" s="186">
        <f t="shared" si="30"/>
        <v>71.583714999999998</v>
      </c>
      <c r="I73" s="186">
        <f t="shared" si="31"/>
        <v>58.45</v>
      </c>
      <c r="J73" s="186">
        <f t="shared" si="32"/>
        <v>71.583714999999998</v>
      </c>
    </row>
    <row r="74" spans="1:14" x14ac:dyDescent="0.25">
      <c r="A74" s="184" t="s">
        <v>729</v>
      </c>
      <c r="B74" s="184">
        <v>3252</v>
      </c>
      <c r="C74" s="184" t="s">
        <v>153</v>
      </c>
      <c r="D74" s="78" t="s">
        <v>407</v>
      </c>
      <c r="E74" s="184" t="s">
        <v>164</v>
      </c>
      <c r="F74" s="185">
        <v>100</v>
      </c>
      <c r="G74" s="186">
        <v>0.97</v>
      </c>
      <c r="H74" s="186">
        <f t="shared" si="30"/>
        <v>1.1879589999999998</v>
      </c>
      <c r="I74" s="186">
        <f t="shared" si="31"/>
        <v>97</v>
      </c>
      <c r="J74" s="186">
        <f t="shared" si="32"/>
        <v>118.79589999999997</v>
      </c>
    </row>
    <row r="75" spans="1:14" s="270" customFormat="1" x14ac:dyDescent="0.25">
      <c r="A75" s="69" t="s">
        <v>168</v>
      </c>
      <c r="B75" s="70"/>
      <c r="C75" s="70"/>
      <c r="D75" s="70" t="s">
        <v>408</v>
      </c>
      <c r="E75" s="70"/>
      <c r="F75" s="70"/>
      <c r="G75" s="311"/>
      <c r="H75" s="311"/>
      <c r="I75" s="312">
        <f>SUM(I76:I85)</f>
        <v>7315.96</v>
      </c>
      <c r="J75" s="312">
        <f>SUM(J76:J85)</f>
        <v>8959.8562119999988</v>
      </c>
      <c r="K75" s="206"/>
      <c r="N75" s="271"/>
    </row>
    <row r="76" spans="1:14" ht="30" x14ac:dyDescent="0.25">
      <c r="A76" s="184" t="s">
        <v>489</v>
      </c>
      <c r="B76" s="184" t="s">
        <v>410</v>
      </c>
      <c r="C76" s="184" t="s">
        <v>8</v>
      </c>
      <c r="D76" s="78" t="s">
        <v>409</v>
      </c>
      <c r="E76" s="184" t="s">
        <v>156</v>
      </c>
      <c r="F76" s="185">
        <f>22*3</f>
        <v>66</v>
      </c>
      <c r="G76" s="186">
        <v>28.94</v>
      </c>
      <c r="H76" s="186">
        <f t="shared" si="30"/>
        <v>35.442817999999995</v>
      </c>
      <c r="I76" s="186">
        <f t="shared" ref="I76:I85" si="35">G76*F76</f>
        <v>1910.0400000000002</v>
      </c>
      <c r="J76" s="186">
        <f t="shared" ref="J76:J84" si="36">H76*F76</f>
        <v>2339.2259879999997</v>
      </c>
    </row>
    <row r="77" spans="1:14" ht="30" x14ac:dyDescent="0.25">
      <c r="A77" s="184" t="s">
        <v>490</v>
      </c>
      <c r="B77" s="184" t="s">
        <v>412</v>
      </c>
      <c r="C77" s="184" t="s">
        <v>8</v>
      </c>
      <c r="D77" s="78" t="s">
        <v>411</v>
      </c>
      <c r="E77" s="184" t="s">
        <v>156</v>
      </c>
      <c r="F77" s="185">
        <f>10*3</f>
        <v>30</v>
      </c>
      <c r="G77" s="186">
        <v>22.16</v>
      </c>
      <c r="H77" s="186">
        <f t="shared" si="30"/>
        <v>27.139351999999999</v>
      </c>
      <c r="I77" s="186">
        <f t="shared" si="35"/>
        <v>664.8</v>
      </c>
      <c r="J77" s="186">
        <f t="shared" si="36"/>
        <v>814.18056000000001</v>
      </c>
    </row>
    <row r="78" spans="1:14" ht="30" x14ac:dyDescent="0.25">
      <c r="A78" s="184" t="s">
        <v>491</v>
      </c>
      <c r="B78" s="184" t="s">
        <v>414</v>
      </c>
      <c r="C78" s="184" t="s">
        <v>8</v>
      </c>
      <c r="D78" s="78" t="s">
        <v>413</v>
      </c>
      <c r="E78" s="184" t="s">
        <v>156</v>
      </c>
      <c r="F78" s="185">
        <f>20*3</f>
        <v>60</v>
      </c>
      <c r="G78" s="186">
        <v>21.81</v>
      </c>
      <c r="H78" s="186">
        <f t="shared" ref="H78:H79" si="37">G78*(1+$J$2)</f>
        <v>26.710706999999996</v>
      </c>
      <c r="I78" s="186">
        <f t="shared" si="35"/>
        <v>1308.5999999999999</v>
      </c>
      <c r="J78" s="186">
        <f t="shared" si="36"/>
        <v>1602.6424199999997</v>
      </c>
    </row>
    <row r="79" spans="1:14" ht="30" x14ac:dyDescent="0.25">
      <c r="A79" s="184" t="s">
        <v>492</v>
      </c>
      <c r="B79" s="184">
        <v>95801</v>
      </c>
      <c r="C79" s="184" t="s">
        <v>19</v>
      </c>
      <c r="D79" s="78" t="s">
        <v>416</v>
      </c>
      <c r="E79" s="184" t="s">
        <v>164</v>
      </c>
      <c r="F79" s="185">
        <v>5</v>
      </c>
      <c r="G79" s="186">
        <v>39.799999999999997</v>
      </c>
      <c r="H79" s="186">
        <f t="shared" si="37"/>
        <v>48.743059999999993</v>
      </c>
      <c r="I79" s="186">
        <f t="shared" si="35"/>
        <v>199</v>
      </c>
      <c r="J79" s="186">
        <f t="shared" si="36"/>
        <v>243.71529999999996</v>
      </c>
    </row>
    <row r="80" spans="1:14" ht="30" x14ac:dyDescent="0.25">
      <c r="A80" s="184" t="s">
        <v>493</v>
      </c>
      <c r="B80" s="184">
        <v>95802</v>
      </c>
      <c r="C80" s="184" t="s">
        <v>19</v>
      </c>
      <c r="D80" s="78" t="s">
        <v>415</v>
      </c>
      <c r="E80" s="184" t="s">
        <v>164</v>
      </c>
      <c r="F80" s="185">
        <v>28</v>
      </c>
      <c r="G80" s="186">
        <v>49.26</v>
      </c>
      <c r="H80" s="186">
        <f t="shared" ref="H80:H82" si="38">G80*(1+$J$2)</f>
        <v>60.328721999999992</v>
      </c>
      <c r="I80" s="186">
        <f t="shared" si="35"/>
        <v>1379.28</v>
      </c>
      <c r="J80" s="186">
        <f t="shared" si="36"/>
        <v>1689.2042159999999</v>
      </c>
    </row>
    <row r="81" spans="1:14" x14ac:dyDescent="0.25">
      <c r="A81" s="184" t="s">
        <v>494</v>
      </c>
      <c r="B81" s="184">
        <v>11303</v>
      </c>
      <c r="C81" s="184" t="s">
        <v>153</v>
      </c>
      <c r="D81" s="78" t="s">
        <v>446</v>
      </c>
      <c r="E81" s="184" t="s">
        <v>164</v>
      </c>
      <c r="F81" s="185">
        <v>84</v>
      </c>
      <c r="G81" s="186">
        <v>5.46</v>
      </c>
      <c r="H81" s="186">
        <f t="shared" ref="H81" si="39">G81*(1+$J$2)</f>
        <v>6.6868619999999996</v>
      </c>
      <c r="I81" s="186">
        <f t="shared" si="35"/>
        <v>458.64</v>
      </c>
      <c r="J81" s="186">
        <f t="shared" si="36"/>
        <v>561.69640800000002</v>
      </c>
    </row>
    <row r="82" spans="1:14" x14ac:dyDescent="0.25">
      <c r="A82" s="184" t="s">
        <v>495</v>
      </c>
      <c r="B82" s="184">
        <v>11304</v>
      </c>
      <c r="C82" s="184" t="s">
        <v>153</v>
      </c>
      <c r="D82" s="78" t="s">
        <v>444</v>
      </c>
      <c r="E82" s="184" t="s">
        <v>164</v>
      </c>
      <c r="F82" s="185">
        <v>15</v>
      </c>
      <c r="G82" s="186">
        <v>3.6</v>
      </c>
      <c r="H82" s="186">
        <f t="shared" si="38"/>
        <v>4.4089200000000002</v>
      </c>
      <c r="I82" s="186">
        <f t="shared" si="35"/>
        <v>54</v>
      </c>
      <c r="J82" s="186">
        <f t="shared" si="36"/>
        <v>66.133800000000008</v>
      </c>
    </row>
    <row r="83" spans="1:14" x14ac:dyDescent="0.25">
      <c r="A83" s="184" t="s">
        <v>496</v>
      </c>
      <c r="B83" s="184">
        <v>11817</v>
      </c>
      <c r="C83" s="184" t="s">
        <v>153</v>
      </c>
      <c r="D83" s="78" t="s">
        <v>417</v>
      </c>
      <c r="E83" s="184" t="s">
        <v>164</v>
      </c>
      <c r="F83" s="185">
        <v>66</v>
      </c>
      <c r="G83" s="186">
        <v>9.65</v>
      </c>
      <c r="H83" s="186">
        <f t="shared" ref="H83" si="40">G83*(1+$J$2)</f>
        <v>11.818354999999999</v>
      </c>
      <c r="I83" s="186">
        <f t="shared" si="35"/>
        <v>636.9</v>
      </c>
      <c r="J83" s="186">
        <f t="shared" si="36"/>
        <v>780.0114299999999</v>
      </c>
    </row>
    <row r="84" spans="1:14" x14ac:dyDescent="0.25">
      <c r="A84" s="184" t="s">
        <v>497</v>
      </c>
      <c r="B84" s="184">
        <v>11816</v>
      </c>
      <c r="C84" s="184" t="s">
        <v>153</v>
      </c>
      <c r="D84" s="78" t="s">
        <v>418</v>
      </c>
      <c r="E84" s="184" t="s">
        <v>164</v>
      </c>
      <c r="F84" s="185">
        <v>30</v>
      </c>
      <c r="G84" s="186">
        <v>9.19</v>
      </c>
      <c r="H84" s="186">
        <f t="shared" si="30"/>
        <v>11.254992999999999</v>
      </c>
      <c r="I84" s="186">
        <f t="shared" si="35"/>
        <v>275.7</v>
      </c>
      <c r="J84" s="186">
        <f t="shared" si="36"/>
        <v>337.64978999999994</v>
      </c>
    </row>
    <row r="85" spans="1:14" x14ac:dyDescent="0.25">
      <c r="A85" s="184" t="s">
        <v>498</v>
      </c>
      <c r="B85" s="184" t="s">
        <v>419</v>
      </c>
      <c r="C85" s="184" t="s">
        <v>153</v>
      </c>
      <c r="D85" s="78" t="s">
        <v>420</v>
      </c>
      <c r="E85" s="184" t="s">
        <v>421</v>
      </c>
      <c r="F85" s="185">
        <v>100</v>
      </c>
      <c r="G85" s="186">
        <f>CPU!$H$109</f>
        <v>4.29</v>
      </c>
      <c r="H85" s="186">
        <f t="shared" si="30"/>
        <v>5.2539629999999997</v>
      </c>
      <c r="I85" s="186">
        <f t="shared" si="35"/>
        <v>429</v>
      </c>
      <c r="J85" s="186">
        <f>H85*F85</f>
        <v>525.3963</v>
      </c>
    </row>
    <row r="86" spans="1:14" s="270" customFormat="1" x14ac:dyDescent="0.25">
      <c r="A86" s="69" t="s">
        <v>169</v>
      </c>
      <c r="B86" s="70"/>
      <c r="C86" s="70"/>
      <c r="D86" s="70" t="s">
        <v>424</v>
      </c>
      <c r="E86" s="70"/>
      <c r="F86" s="70"/>
      <c r="G86" s="311"/>
      <c r="H86" s="311"/>
      <c r="I86" s="312">
        <f>SUM(I87:I90)</f>
        <v>74.350000000000009</v>
      </c>
      <c r="J86" s="312">
        <f>SUM(J87:J90)</f>
        <v>91.056444999999997</v>
      </c>
      <c r="K86" s="206"/>
      <c r="N86" s="271"/>
    </row>
    <row r="87" spans="1:14" ht="30" x14ac:dyDescent="0.25">
      <c r="A87" s="184" t="s">
        <v>499</v>
      </c>
      <c r="B87" s="184">
        <v>724</v>
      </c>
      <c r="C87" s="184" t="s">
        <v>153</v>
      </c>
      <c r="D87" s="78" t="s">
        <v>425</v>
      </c>
      <c r="E87" s="184" t="s">
        <v>164</v>
      </c>
      <c r="F87" s="185">
        <v>5</v>
      </c>
      <c r="G87" s="186">
        <v>8.81</v>
      </c>
      <c r="H87" s="186">
        <f t="shared" ref="H87" si="41">G87*(1+$J$2)</f>
        <v>10.789607</v>
      </c>
      <c r="I87" s="186">
        <f>G87*F87</f>
        <v>44.050000000000004</v>
      </c>
      <c r="J87" s="186">
        <f>H87*F87</f>
        <v>53.948035000000004</v>
      </c>
    </row>
    <row r="88" spans="1:14" x14ac:dyDescent="0.25">
      <c r="A88" s="184" t="s">
        <v>500</v>
      </c>
      <c r="B88" s="184">
        <v>9816</v>
      </c>
      <c r="C88" s="184" t="s">
        <v>153</v>
      </c>
      <c r="D88" s="78" t="s">
        <v>427</v>
      </c>
      <c r="E88" s="184" t="s">
        <v>164</v>
      </c>
      <c r="F88" s="185">
        <v>10</v>
      </c>
      <c r="G88" s="186">
        <v>0.44</v>
      </c>
      <c r="H88" s="186">
        <f t="shared" si="30"/>
        <v>0.53886800000000001</v>
      </c>
      <c r="I88" s="186">
        <f t="shared" ref="I88:I90" si="42">G88*F88</f>
        <v>4.4000000000000004</v>
      </c>
      <c r="J88" s="186">
        <f t="shared" ref="J88:J90" si="43">H88*F88</f>
        <v>5.3886799999999999</v>
      </c>
    </row>
    <row r="89" spans="1:14" x14ac:dyDescent="0.25">
      <c r="A89" s="184" t="s">
        <v>501</v>
      </c>
      <c r="B89" s="184">
        <v>12494</v>
      </c>
      <c r="C89" s="184" t="s">
        <v>153</v>
      </c>
      <c r="D89" s="78" t="s">
        <v>428</v>
      </c>
      <c r="E89" s="184" t="s">
        <v>164</v>
      </c>
      <c r="F89" s="185">
        <v>5</v>
      </c>
      <c r="G89" s="186">
        <v>4.0999999999999996</v>
      </c>
      <c r="H89" s="186">
        <f t="shared" si="30"/>
        <v>5.0212699999999995</v>
      </c>
      <c r="I89" s="186">
        <f t="shared" si="42"/>
        <v>20.5</v>
      </c>
      <c r="J89" s="186">
        <f t="shared" si="43"/>
        <v>25.106349999999999</v>
      </c>
    </row>
    <row r="90" spans="1:14" x14ac:dyDescent="0.25">
      <c r="A90" s="184" t="s">
        <v>502</v>
      </c>
      <c r="B90" s="184">
        <v>9832</v>
      </c>
      <c r="C90" s="184" t="s">
        <v>153</v>
      </c>
      <c r="D90" s="78" t="s">
        <v>429</v>
      </c>
      <c r="E90" s="184" t="s">
        <v>164</v>
      </c>
      <c r="F90" s="185">
        <v>5</v>
      </c>
      <c r="G90" s="186">
        <v>1.08</v>
      </c>
      <c r="H90" s="186">
        <f t="shared" si="30"/>
        <v>1.322676</v>
      </c>
      <c r="I90" s="186">
        <f t="shared" si="42"/>
        <v>5.4</v>
      </c>
      <c r="J90" s="186">
        <f t="shared" si="43"/>
        <v>6.6133799999999994</v>
      </c>
    </row>
    <row r="91" spans="1:14" s="270" customFormat="1" x14ac:dyDescent="0.25">
      <c r="A91" s="69" t="s">
        <v>503</v>
      </c>
      <c r="B91" s="70"/>
      <c r="C91" s="70"/>
      <c r="D91" s="70" t="s">
        <v>173</v>
      </c>
      <c r="E91" s="70"/>
      <c r="F91" s="70"/>
      <c r="G91" s="311"/>
      <c r="H91" s="311"/>
      <c r="I91" s="312">
        <f ca="1">SUM(I92:I100)</f>
        <v>9041.2973600000005</v>
      </c>
      <c r="J91" s="312">
        <f ca="1">SUM(J92:J100)</f>
        <v>11072.876876791997</v>
      </c>
      <c r="K91" s="206"/>
      <c r="N91" s="271"/>
    </row>
    <row r="92" spans="1:14" ht="30" x14ac:dyDescent="0.25">
      <c r="A92" s="184" t="s">
        <v>504</v>
      </c>
      <c r="B92" s="184">
        <v>91940</v>
      </c>
      <c r="C92" s="184" t="s">
        <v>19</v>
      </c>
      <c r="D92" s="78" t="s">
        <v>172</v>
      </c>
      <c r="E92" s="184" t="s">
        <v>164</v>
      </c>
      <c r="F92" s="185">
        <v>26</v>
      </c>
      <c r="G92" s="186">
        <v>17.89</v>
      </c>
      <c r="H92" s="186">
        <f t="shared" ref="H92:H99" si="44">G92*(1+$J$2)</f>
        <v>21.909883000000001</v>
      </c>
      <c r="I92" s="186">
        <f>G92*F92</f>
        <v>465.14</v>
      </c>
      <c r="J92" s="186">
        <f>H92*F92</f>
        <v>569.65695800000003</v>
      </c>
    </row>
    <row r="93" spans="1:14" ht="30" x14ac:dyDescent="0.25">
      <c r="A93" s="184" t="s">
        <v>505</v>
      </c>
      <c r="B93" s="184">
        <v>91953</v>
      </c>
      <c r="C93" s="184" t="s">
        <v>19</v>
      </c>
      <c r="D93" s="78" t="s">
        <v>295</v>
      </c>
      <c r="E93" s="184" t="s">
        <v>164</v>
      </c>
      <c r="F93" s="185">
        <v>4</v>
      </c>
      <c r="G93" s="186">
        <v>29.6</v>
      </c>
      <c r="H93" s="186">
        <f t="shared" ref="H93:H96" si="45">G93*(1+$J$2)</f>
        <v>36.25112</v>
      </c>
      <c r="I93" s="186">
        <f t="shared" ref="I93:I99" si="46">G93*F93</f>
        <v>118.4</v>
      </c>
      <c r="J93" s="186">
        <f t="shared" ref="J93:J99" si="47">H93*F93</f>
        <v>145.00448</v>
      </c>
    </row>
    <row r="94" spans="1:14" ht="30" x14ac:dyDescent="0.25">
      <c r="A94" s="184" t="s">
        <v>506</v>
      </c>
      <c r="B94" s="184">
        <v>91959</v>
      </c>
      <c r="C94" s="184" t="s">
        <v>19</v>
      </c>
      <c r="D94" s="78" t="s">
        <v>296</v>
      </c>
      <c r="E94" s="184" t="s">
        <v>164</v>
      </c>
      <c r="F94" s="185">
        <v>2</v>
      </c>
      <c r="G94" s="186">
        <v>44.63</v>
      </c>
      <c r="H94" s="186">
        <f t="shared" si="45"/>
        <v>54.658360999999999</v>
      </c>
      <c r="I94" s="186">
        <f t="shared" si="46"/>
        <v>89.26</v>
      </c>
      <c r="J94" s="186">
        <f t="shared" si="47"/>
        <v>109.316722</v>
      </c>
    </row>
    <row r="95" spans="1:14" ht="30" x14ac:dyDescent="0.25">
      <c r="A95" s="184" t="s">
        <v>507</v>
      </c>
      <c r="B95" s="184">
        <v>91997</v>
      </c>
      <c r="C95" s="184" t="s">
        <v>19</v>
      </c>
      <c r="D95" s="78" t="s">
        <v>430</v>
      </c>
      <c r="E95" s="184" t="s">
        <v>164</v>
      </c>
      <c r="F95" s="185">
        <v>18</v>
      </c>
      <c r="G95" s="186">
        <v>36.65</v>
      </c>
      <c r="H95" s="186">
        <f t="shared" si="45"/>
        <v>44.885254999999994</v>
      </c>
      <c r="I95" s="186">
        <f t="shared" si="46"/>
        <v>659.69999999999993</v>
      </c>
      <c r="J95" s="186">
        <f t="shared" si="47"/>
        <v>807.93458999999984</v>
      </c>
    </row>
    <row r="96" spans="1:14" ht="30" x14ac:dyDescent="0.25">
      <c r="A96" s="184" t="s">
        <v>508</v>
      </c>
      <c r="B96" s="184" t="s">
        <v>435</v>
      </c>
      <c r="C96" s="184" t="s">
        <v>434</v>
      </c>
      <c r="D96" s="78" t="s">
        <v>433</v>
      </c>
      <c r="E96" s="184" t="s">
        <v>164</v>
      </c>
      <c r="F96" s="185">
        <v>2</v>
      </c>
      <c r="G96" s="186">
        <f ca="1">CPU!$H$113</f>
        <v>23.13618</v>
      </c>
      <c r="H96" s="186">
        <f t="shared" ca="1" si="45"/>
        <v>28.334879645999997</v>
      </c>
      <c r="I96" s="186">
        <f t="shared" ca="1" si="46"/>
        <v>46.272359999999999</v>
      </c>
      <c r="J96" s="186">
        <f t="shared" ca="1" si="47"/>
        <v>56.669759291999995</v>
      </c>
    </row>
    <row r="97" spans="1:14" ht="30" x14ac:dyDescent="0.25">
      <c r="A97" s="184" t="s">
        <v>509</v>
      </c>
      <c r="B97" s="184" t="s">
        <v>163</v>
      </c>
      <c r="C97" s="184" t="s">
        <v>176</v>
      </c>
      <c r="D97" s="78" t="s">
        <v>376</v>
      </c>
      <c r="E97" s="184" t="s">
        <v>164</v>
      </c>
      <c r="F97" s="185">
        <v>7</v>
      </c>
      <c r="G97" s="189">
        <f ca="1">CPU!$H$119</f>
        <v>236.12100000000001</v>
      </c>
      <c r="H97" s="189">
        <f t="shared" ca="1" si="44"/>
        <v>289.17738869999999</v>
      </c>
      <c r="I97" s="186">
        <f t="shared" ca="1" si="46"/>
        <v>1652.847</v>
      </c>
      <c r="J97" s="186">
        <f t="shared" ca="1" si="47"/>
        <v>2024.2417209</v>
      </c>
    </row>
    <row r="98" spans="1:14" ht="30" x14ac:dyDescent="0.25">
      <c r="A98" s="184" t="s">
        <v>510</v>
      </c>
      <c r="B98" s="184" t="s">
        <v>785</v>
      </c>
      <c r="C98" s="184" t="s">
        <v>176</v>
      </c>
      <c r="D98" s="78" t="s">
        <v>377</v>
      </c>
      <c r="E98" s="184" t="s">
        <v>164</v>
      </c>
      <c r="F98" s="185">
        <v>1</v>
      </c>
      <c r="G98" s="189">
        <f ca="1">CPU!$H$124</f>
        <v>327.12099999999998</v>
      </c>
      <c r="H98" s="189">
        <f t="shared" ca="1" si="44"/>
        <v>400.62508869999994</v>
      </c>
      <c r="I98" s="186">
        <f t="shared" ca="1" si="46"/>
        <v>327.12099999999998</v>
      </c>
      <c r="J98" s="186">
        <f t="shared" ca="1" si="47"/>
        <v>400.62508869999994</v>
      </c>
    </row>
    <row r="99" spans="1:14" x14ac:dyDescent="0.25">
      <c r="A99" s="184" t="s">
        <v>511</v>
      </c>
      <c r="B99" s="184" t="s">
        <v>786</v>
      </c>
      <c r="C99" s="184" t="s">
        <v>176</v>
      </c>
      <c r="D99" s="78" t="s">
        <v>378</v>
      </c>
      <c r="E99" s="184" t="s">
        <v>164</v>
      </c>
      <c r="F99" s="185">
        <v>19</v>
      </c>
      <c r="G99" s="189">
        <f ca="1">CPU!$G$129</f>
        <v>277.75099999999998</v>
      </c>
      <c r="H99" s="189">
        <f t="shared" ca="1" si="44"/>
        <v>340.16164969999994</v>
      </c>
      <c r="I99" s="186">
        <f t="shared" ca="1" si="46"/>
        <v>5277.2689999999993</v>
      </c>
      <c r="J99" s="186">
        <f t="shared" ca="1" si="47"/>
        <v>6463.0713442999986</v>
      </c>
    </row>
    <row r="100" spans="1:14" x14ac:dyDescent="0.25">
      <c r="A100" s="184" t="s">
        <v>512</v>
      </c>
      <c r="B100" s="184" t="s">
        <v>787</v>
      </c>
      <c r="C100" s="184" t="s">
        <v>176</v>
      </c>
      <c r="D100" s="78" t="s">
        <v>717</v>
      </c>
      <c r="E100" s="184" t="s">
        <v>164</v>
      </c>
      <c r="F100" s="185">
        <f>MC!J153</f>
        <v>8</v>
      </c>
      <c r="G100" s="189">
        <f>CPU!H134</f>
        <v>50.661000000000001</v>
      </c>
      <c r="H100" s="189">
        <f t="shared" ref="H100" si="48">G100*(1+$J$2)</f>
        <v>62.044526699999999</v>
      </c>
      <c r="I100" s="186">
        <f t="shared" ref="I100" si="49">G100*F100</f>
        <v>405.28800000000001</v>
      </c>
      <c r="J100" s="186">
        <f t="shared" ref="J100" si="50">H100*F100</f>
        <v>496.35621359999999</v>
      </c>
    </row>
    <row r="101" spans="1:14" x14ac:dyDescent="0.25">
      <c r="A101" s="439"/>
      <c r="B101" s="440"/>
      <c r="C101" s="440"/>
      <c r="D101" s="440"/>
      <c r="E101" s="440"/>
      <c r="F101" s="440"/>
      <c r="G101" s="440"/>
      <c r="H101" s="440"/>
      <c r="I101" s="440"/>
      <c r="J101" s="441"/>
    </row>
    <row r="102" spans="1:14" s="267" customFormat="1" x14ac:dyDescent="0.25">
      <c r="A102" s="3">
        <v>8</v>
      </c>
      <c r="B102" s="4"/>
      <c r="C102" s="4"/>
      <c r="D102" s="4" t="s">
        <v>442</v>
      </c>
      <c r="E102" s="4"/>
      <c r="F102" s="4"/>
      <c r="G102" s="309"/>
      <c r="H102" s="309"/>
      <c r="I102" s="310">
        <f ca="1">SUM(I103,I105,I108,I112,I118)</f>
        <v>13862.629200000001</v>
      </c>
      <c r="J102" s="310">
        <f ca="1">SUM(J103,J105,J108,J112,J118)</f>
        <v>16960.048863240001</v>
      </c>
      <c r="K102" s="206"/>
      <c r="N102" s="268"/>
    </row>
    <row r="103" spans="1:14" s="270" customFormat="1" x14ac:dyDescent="0.25">
      <c r="A103" s="69" t="s">
        <v>67</v>
      </c>
      <c r="B103" s="70"/>
      <c r="C103" s="70"/>
      <c r="D103" s="70" t="s">
        <v>399</v>
      </c>
      <c r="E103" s="70"/>
      <c r="F103" s="70"/>
      <c r="G103" s="311"/>
      <c r="H103" s="311"/>
      <c r="I103" s="312">
        <f>SUM(I104)</f>
        <v>77.94</v>
      </c>
      <c r="J103" s="312">
        <f>SUM(J104)</f>
        <v>77.94</v>
      </c>
      <c r="K103" s="206"/>
      <c r="N103" s="271"/>
    </row>
    <row r="104" spans="1:14" x14ac:dyDescent="0.25">
      <c r="A104" s="184" t="s">
        <v>165</v>
      </c>
      <c r="B104" s="184">
        <v>90456</v>
      </c>
      <c r="C104" s="184" t="s">
        <v>19</v>
      </c>
      <c r="D104" s="78" t="s">
        <v>432</v>
      </c>
      <c r="E104" s="184" t="s">
        <v>164</v>
      </c>
      <c r="F104" s="185">
        <f>F109</f>
        <v>18</v>
      </c>
      <c r="G104" s="186">
        <v>4.33</v>
      </c>
      <c r="H104" s="186">
        <v>4.33</v>
      </c>
      <c r="I104" s="186">
        <f>G104*F104</f>
        <v>77.94</v>
      </c>
      <c r="J104" s="186">
        <f>H104*F104</f>
        <v>77.94</v>
      </c>
    </row>
    <row r="105" spans="1:14" s="270" customFormat="1" x14ac:dyDescent="0.25">
      <c r="A105" s="69" t="s">
        <v>174</v>
      </c>
      <c r="B105" s="70"/>
      <c r="C105" s="70"/>
      <c r="D105" s="70" t="s">
        <v>400</v>
      </c>
      <c r="E105" s="70"/>
      <c r="F105" s="70"/>
      <c r="G105" s="311"/>
      <c r="H105" s="311"/>
      <c r="I105" s="312">
        <f>SUM(I106:I107)</f>
        <v>5126.4900000000007</v>
      </c>
      <c r="J105" s="312">
        <f>SUM(J106:J107)</f>
        <v>6278.4123030000001</v>
      </c>
      <c r="K105" s="206"/>
      <c r="N105" s="271"/>
    </row>
    <row r="106" spans="1:14" ht="30" x14ac:dyDescent="0.25">
      <c r="A106" s="184" t="s">
        <v>175</v>
      </c>
      <c r="B106" s="184" t="s">
        <v>402</v>
      </c>
      <c r="C106" s="184" t="s">
        <v>8</v>
      </c>
      <c r="D106" s="78" t="s">
        <v>401</v>
      </c>
      <c r="E106" s="184" t="s">
        <v>156</v>
      </c>
      <c r="F106" s="185">
        <v>948</v>
      </c>
      <c r="G106" s="186">
        <v>4.95</v>
      </c>
      <c r="H106" s="186">
        <f t="shared" ref="H106:H107" si="51">G106*(1+$J$2)</f>
        <v>6.062265</v>
      </c>
      <c r="I106" s="186">
        <f>G106*F106</f>
        <v>4692.6000000000004</v>
      </c>
      <c r="J106" s="186">
        <f>H106*F106</f>
        <v>5747.0272199999999</v>
      </c>
    </row>
    <row r="107" spans="1:14" ht="30" x14ac:dyDescent="0.25">
      <c r="A107" s="184" t="s">
        <v>730</v>
      </c>
      <c r="B107" s="184" t="s">
        <v>440</v>
      </c>
      <c r="C107" s="184" t="s">
        <v>578</v>
      </c>
      <c r="D107" s="78" t="s">
        <v>439</v>
      </c>
      <c r="E107" s="184" t="s">
        <v>156</v>
      </c>
      <c r="F107" s="185">
        <v>30</v>
      </c>
      <c r="G107" s="186">
        <f>CPU!H138</f>
        <v>14.463000000000001</v>
      </c>
      <c r="H107" s="186">
        <f t="shared" si="51"/>
        <v>17.712836100000001</v>
      </c>
      <c r="I107" s="186">
        <f t="shared" ref="I107" si="52">G107*F107</f>
        <v>433.89000000000004</v>
      </c>
      <c r="J107" s="186">
        <f t="shared" ref="J107" si="53">H107*F107</f>
        <v>531.38508300000001</v>
      </c>
    </row>
    <row r="108" spans="1:14" s="270" customFormat="1" x14ac:dyDescent="0.25">
      <c r="A108" s="69" t="s">
        <v>517</v>
      </c>
      <c r="B108" s="70"/>
      <c r="C108" s="70"/>
      <c r="D108" s="70" t="s">
        <v>443</v>
      </c>
      <c r="E108" s="70"/>
      <c r="F108" s="70"/>
      <c r="G108" s="311"/>
      <c r="H108" s="311"/>
      <c r="I108" s="312">
        <f ca="1">SUM(I109:I111)</f>
        <v>5266.9692000000005</v>
      </c>
      <c r="J108" s="312">
        <f ca="1">SUM(J109:J111)</f>
        <v>6450.4571792400002</v>
      </c>
      <c r="K108" s="206"/>
      <c r="N108" s="271"/>
    </row>
    <row r="109" spans="1:14" ht="30" x14ac:dyDescent="0.25">
      <c r="A109" s="184" t="s">
        <v>518</v>
      </c>
      <c r="B109" s="184">
        <v>91940</v>
      </c>
      <c r="C109" s="184" t="s">
        <v>19</v>
      </c>
      <c r="D109" s="78" t="s">
        <v>172</v>
      </c>
      <c r="E109" s="184" t="s">
        <v>164</v>
      </c>
      <c r="F109" s="185">
        <v>18</v>
      </c>
      <c r="G109" s="186">
        <v>17.89</v>
      </c>
      <c r="H109" s="186">
        <f t="shared" ref="H109" si="54">G109*(1+$J$2)</f>
        <v>21.909883000000001</v>
      </c>
      <c r="I109" s="186">
        <f>G109*F109</f>
        <v>322.02</v>
      </c>
      <c r="J109" s="186">
        <f>H109*F109</f>
        <v>394.37789400000003</v>
      </c>
    </row>
    <row r="110" spans="1:14" ht="30" x14ac:dyDescent="0.25">
      <c r="A110" s="184" t="s">
        <v>519</v>
      </c>
      <c r="B110" s="184">
        <v>92005</v>
      </c>
      <c r="C110" s="184" t="s">
        <v>19</v>
      </c>
      <c r="D110" s="78" t="s">
        <v>431</v>
      </c>
      <c r="E110" s="184" t="s">
        <v>164</v>
      </c>
      <c r="F110" s="185">
        <v>18</v>
      </c>
      <c r="G110" s="186">
        <v>59.39</v>
      </c>
      <c r="H110" s="186">
        <f>G110*(1+$J$2)</f>
        <v>72.734932999999998</v>
      </c>
      <c r="I110" s="186">
        <f>G110*F110</f>
        <v>1069.02</v>
      </c>
      <c r="J110" s="186">
        <f>H110*F110</f>
        <v>1309.2287939999999</v>
      </c>
    </row>
    <row r="111" spans="1:14" ht="30" x14ac:dyDescent="0.25">
      <c r="A111" s="184" t="s">
        <v>731</v>
      </c>
      <c r="B111" s="184" t="s">
        <v>788</v>
      </c>
      <c r="C111" s="184" t="s">
        <v>176</v>
      </c>
      <c r="D111" s="78" t="s">
        <v>431</v>
      </c>
      <c r="E111" s="184" t="s">
        <v>164</v>
      </c>
      <c r="F111" s="185">
        <v>13</v>
      </c>
      <c r="G111" s="186">
        <f ca="1">CPU!$H$143</f>
        <v>298.14840000000004</v>
      </c>
      <c r="H111" s="186">
        <f ca="1">G111*(1+$J$2)</f>
        <v>365.14234548000002</v>
      </c>
      <c r="I111" s="186">
        <f ca="1">G111*F111</f>
        <v>3875.9292000000005</v>
      </c>
      <c r="J111" s="186">
        <f ca="1">H111*F111</f>
        <v>4746.8504912400003</v>
      </c>
    </row>
    <row r="112" spans="1:14" s="270" customFormat="1" x14ac:dyDescent="0.25">
      <c r="A112" s="69" t="s">
        <v>520</v>
      </c>
      <c r="B112" s="70"/>
      <c r="C112" s="70"/>
      <c r="D112" s="70" t="s">
        <v>408</v>
      </c>
      <c r="E112" s="70"/>
      <c r="F112" s="70"/>
      <c r="G112" s="311"/>
      <c r="H112" s="311"/>
      <c r="I112" s="312">
        <f>SUM(I113:I117)</f>
        <v>3323.3700000000003</v>
      </c>
      <c r="J112" s="312">
        <f>SUM(J113:J117)</f>
        <v>4070.1312389999998</v>
      </c>
      <c r="K112" s="206"/>
      <c r="N112" s="271"/>
    </row>
    <row r="113" spans="1:14" ht="30" x14ac:dyDescent="0.25">
      <c r="A113" s="184" t="s">
        <v>521</v>
      </c>
      <c r="B113" s="184" t="s">
        <v>412</v>
      </c>
      <c r="C113" s="184" t="s">
        <v>8</v>
      </c>
      <c r="D113" s="78" t="s">
        <v>452</v>
      </c>
      <c r="E113" s="184" t="s">
        <v>156</v>
      </c>
      <c r="F113" s="185">
        <f>19*3</f>
        <v>57</v>
      </c>
      <c r="G113" s="186">
        <v>22.16</v>
      </c>
      <c r="H113" s="186">
        <f t="shared" ref="H113:H117" si="55">G113*(1+$J$2)</f>
        <v>27.139351999999999</v>
      </c>
      <c r="I113" s="186">
        <f>G113*F113</f>
        <v>1263.1200000000001</v>
      </c>
      <c r="J113" s="186">
        <f>H113*F113</f>
        <v>1546.9430639999998</v>
      </c>
    </row>
    <row r="114" spans="1:14" ht="30" x14ac:dyDescent="0.25">
      <c r="A114" s="184" t="s">
        <v>522</v>
      </c>
      <c r="B114" s="184" t="s">
        <v>414</v>
      </c>
      <c r="C114" s="184" t="s">
        <v>8</v>
      </c>
      <c r="D114" s="78" t="s">
        <v>413</v>
      </c>
      <c r="E114" s="184" t="s">
        <v>156</v>
      </c>
      <c r="F114" s="185">
        <f>15*3</f>
        <v>45</v>
      </c>
      <c r="G114" s="186">
        <v>21.81</v>
      </c>
      <c r="H114" s="186">
        <f t="shared" si="55"/>
        <v>26.710706999999996</v>
      </c>
      <c r="I114" s="186">
        <f t="shared" ref="I114:I117" si="56">G114*F114</f>
        <v>981.44999999999993</v>
      </c>
      <c r="J114" s="186">
        <f t="shared" ref="J114:J117" si="57">H114*F114</f>
        <v>1201.9818149999999</v>
      </c>
    </row>
    <row r="115" spans="1:14" ht="30" x14ac:dyDescent="0.25">
      <c r="A115" s="184" t="s">
        <v>523</v>
      </c>
      <c r="B115" s="184">
        <v>95801</v>
      </c>
      <c r="C115" s="184" t="s">
        <v>19</v>
      </c>
      <c r="D115" s="78" t="s">
        <v>416</v>
      </c>
      <c r="E115" s="184" t="s">
        <v>164</v>
      </c>
      <c r="F115" s="185">
        <v>13</v>
      </c>
      <c r="G115" s="186">
        <v>39.799999999999997</v>
      </c>
      <c r="H115" s="186">
        <f t="shared" si="55"/>
        <v>48.743059999999993</v>
      </c>
      <c r="I115" s="186">
        <f t="shared" si="56"/>
        <v>517.4</v>
      </c>
      <c r="J115" s="186">
        <f t="shared" si="57"/>
        <v>633.65977999999996</v>
      </c>
    </row>
    <row r="116" spans="1:14" x14ac:dyDescent="0.25">
      <c r="A116" s="184" t="s">
        <v>524</v>
      </c>
      <c r="B116" s="184">
        <v>11304</v>
      </c>
      <c r="C116" s="184" t="s">
        <v>153</v>
      </c>
      <c r="D116" s="78" t="s">
        <v>444</v>
      </c>
      <c r="E116" s="184" t="s">
        <v>164</v>
      </c>
      <c r="F116" s="185">
        <v>39</v>
      </c>
      <c r="G116" s="186">
        <v>3.6</v>
      </c>
      <c r="H116" s="186">
        <f t="shared" si="55"/>
        <v>4.4089200000000002</v>
      </c>
      <c r="I116" s="186">
        <f t="shared" si="56"/>
        <v>140.4</v>
      </c>
      <c r="J116" s="186">
        <f t="shared" si="57"/>
        <v>171.94788</v>
      </c>
    </row>
    <row r="117" spans="1:14" x14ac:dyDescent="0.25">
      <c r="A117" s="184" t="s">
        <v>525</v>
      </c>
      <c r="B117" s="184">
        <v>10620</v>
      </c>
      <c r="C117" s="184" t="s">
        <v>153</v>
      </c>
      <c r="D117" s="78" t="s">
        <v>445</v>
      </c>
      <c r="E117" s="184" t="s">
        <v>164</v>
      </c>
      <c r="F117" s="185">
        <v>100</v>
      </c>
      <c r="G117" s="186">
        <v>4.21</v>
      </c>
      <c r="H117" s="186">
        <f t="shared" si="55"/>
        <v>5.1559869999999997</v>
      </c>
      <c r="I117" s="186">
        <f t="shared" si="56"/>
        <v>421</v>
      </c>
      <c r="J117" s="186">
        <f t="shared" si="57"/>
        <v>515.59870000000001</v>
      </c>
    </row>
    <row r="118" spans="1:14" s="270" customFormat="1" x14ac:dyDescent="0.25">
      <c r="A118" s="69" t="s">
        <v>526</v>
      </c>
      <c r="B118" s="70"/>
      <c r="C118" s="70"/>
      <c r="D118" s="70" t="s">
        <v>424</v>
      </c>
      <c r="E118" s="70"/>
      <c r="F118" s="70"/>
      <c r="G118" s="311"/>
      <c r="H118" s="311"/>
      <c r="I118" s="312">
        <f>SUM(I119:I122)</f>
        <v>67.86</v>
      </c>
      <c r="J118" s="312">
        <f>SUM(J119:J122)</f>
        <v>83.108141999999987</v>
      </c>
      <c r="K118" s="206"/>
      <c r="N118" s="271"/>
    </row>
    <row r="119" spans="1:14" ht="30" x14ac:dyDescent="0.25">
      <c r="A119" s="184" t="s">
        <v>527</v>
      </c>
      <c r="B119" s="184">
        <v>723</v>
      </c>
      <c r="C119" s="184" t="s">
        <v>153</v>
      </c>
      <c r="D119" s="78" t="s">
        <v>426</v>
      </c>
      <c r="E119" s="184" t="s">
        <v>164</v>
      </c>
      <c r="F119" s="185">
        <v>6</v>
      </c>
      <c r="G119" s="186">
        <v>6.26</v>
      </c>
      <c r="H119" s="186">
        <f t="shared" ref="H119:H122" si="58">G119*(1+$J$2)</f>
        <v>7.6666219999999994</v>
      </c>
      <c r="I119" s="186">
        <f>G119*F119</f>
        <v>37.56</v>
      </c>
      <c r="J119" s="186">
        <f>H119*F119</f>
        <v>45.999731999999995</v>
      </c>
    </row>
    <row r="120" spans="1:14" x14ac:dyDescent="0.25">
      <c r="A120" s="184" t="s">
        <v>528</v>
      </c>
      <c r="B120" s="184">
        <v>9816</v>
      </c>
      <c r="C120" s="184" t="s">
        <v>153</v>
      </c>
      <c r="D120" s="78" t="s">
        <v>427</v>
      </c>
      <c r="E120" s="184" t="s">
        <v>164</v>
      </c>
      <c r="F120" s="185">
        <v>10</v>
      </c>
      <c r="G120" s="186">
        <v>0.44</v>
      </c>
      <c r="H120" s="186">
        <f t="shared" si="58"/>
        <v>0.53886800000000001</v>
      </c>
      <c r="I120" s="186">
        <f t="shared" ref="I120:I122" si="59">G120*F120</f>
        <v>4.4000000000000004</v>
      </c>
      <c r="J120" s="186">
        <f t="shared" ref="J120:J122" si="60">H120*F120</f>
        <v>5.3886799999999999</v>
      </c>
    </row>
    <row r="121" spans="1:14" x14ac:dyDescent="0.25">
      <c r="A121" s="184" t="s">
        <v>529</v>
      </c>
      <c r="B121" s="184">
        <v>12494</v>
      </c>
      <c r="C121" s="184" t="s">
        <v>153</v>
      </c>
      <c r="D121" s="78" t="s">
        <v>428</v>
      </c>
      <c r="E121" s="184" t="s">
        <v>164</v>
      </c>
      <c r="F121" s="185">
        <v>5</v>
      </c>
      <c r="G121" s="186">
        <v>4.0999999999999996</v>
      </c>
      <c r="H121" s="186">
        <f t="shared" si="58"/>
        <v>5.0212699999999995</v>
      </c>
      <c r="I121" s="186">
        <f t="shared" si="59"/>
        <v>20.5</v>
      </c>
      <c r="J121" s="186">
        <f t="shared" si="60"/>
        <v>25.106349999999999</v>
      </c>
    </row>
    <row r="122" spans="1:14" x14ac:dyDescent="0.25">
      <c r="A122" s="184" t="s">
        <v>530</v>
      </c>
      <c r="B122" s="184">
        <v>9832</v>
      </c>
      <c r="C122" s="184" t="s">
        <v>153</v>
      </c>
      <c r="D122" s="78" t="s">
        <v>429</v>
      </c>
      <c r="E122" s="184" t="s">
        <v>164</v>
      </c>
      <c r="F122" s="185">
        <v>5</v>
      </c>
      <c r="G122" s="186">
        <v>1.08</v>
      </c>
      <c r="H122" s="186">
        <f t="shared" si="58"/>
        <v>1.322676</v>
      </c>
      <c r="I122" s="186">
        <f t="shared" si="59"/>
        <v>5.4</v>
      </c>
      <c r="J122" s="186">
        <f t="shared" si="60"/>
        <v>6.6133799999999994</v>
      </c>
    </row>
    <row r="123" spans="1:14" x14ac:dyDescent="0.25">
      <c r="A123" s="439"/>
      <c r="B123" s="440"/>
      <c r="C123" s="440"/>
      <c r="D123" s="440"/>
      <c r="E123" s="440"/>
      <c r="F123" s="440"/>
      <c r="G123" s="440"/>
      <c r="H123" s="440"/>
      <c r="I123" s="440"/>
      <c r="J123" s="441"/>
    </row>
    <row r="124" spans="1:14" s="267" customFormat="1" x14ac:dyDescent="0.25">
      <c r="A124" s="3">
        <v>9</v>
      </c>
      <c r="B124" s="4"/>
      <c r="C124" s="4"/>
      <c r="D124" s="4" t="s">
        <v>181</v>
      </c>
      <c r="E124" s="4"/>
      <c r="F124" s="4"/>
      <c r="G124" s="309"/>
      <c r="H124" s="309"/>
      <c r="I124" s="310">
        <f ca="1">SUM(I128,I139,I143,I145,I154,I125)</f>
        <v>35087.728000000003</v>
      </c>
      <c r="J124" s="310">
        <f ca="1">SUM(J128,J139,J143,J145,J154,J125)</f>
        <v>42971.940481599995</v>
      </c>
      <c r="K124" s="206"/>
      <c r="N124" s="268"/>
    </row>
    <row r="125" spans="1:14" s="270" customFormat="1" x14ac:dyDescent="0.25">
      <c r="A125" s="69" t="s">
        <v>68</v>
      </c>
      <c r="B125" s="70"/>
      <c r="C125" s="70"/>
      <c r="D125" s="70" t="s">
        <v>399</v>
      </c>
      <c r="E125" s="70"/>
      <c r="F125" s="70"/>
      <c r="G125" s="311"/>
      <c r="H125" s="311"/>
      <c r="I125" s="312">
        <f>SUM(I126:I127)</f>
        <v>1819.07</v>
      </c>
      <c r="J125" s="312">
        <f>SUM(J126:J127)</f>
        <v>2227.8150289999999</v>
      </c>
      <c r="K125" s="206"/>
      <c r="N125" s="271"/>
    </row>
    <row r="126" spans="1:14" x14ac:dyDescent="0.25">
      <c r="A126" s="184" t="s">
        <v>531</v>
      </c>
      <c r="B126" s="184">
        <v>90456</v>
      </c>
      <c r="C126" s="184" t="s">
        <v>19</v>
      </c>
      <c r="D126" s="78" t="s">
        <v>432</v>
      </c>
      <c r="E126" s="184" t="s">
        <v>164</v>
      </c>
      <c r="F126" s="185">
        <f>SUM(F148)</f>
        <v>54</v>
      </c>
      <c r="G126" s="186">
        <v>4.33</v>
      </c>
      <c r="H126" s="186">
        <f t="shared" ref="H126" si="61">G126*(1+$J$2)</f>
        <v>5.3029509999999993</v>
      </c>
      <c r="I126" s="186">
        <f>G126*F126</f>
        <v>233.82</v>
      </c>
      <c r="J126" s="186">
        <f>H126*F126</f>
        <v>286.35935399999994</v>
      </c>
    </row>
    <row r="127" spans="1:14" x14ac:dyDescent="0.25">
      <c r="A127" s="184" t="s">
        <v>532</v>
      </c>
      <c r="B127" s="184" t="s">
        <v>789</v>
      </c>
      <c r="C127" s="184" t="s">
        <v>176</v>
      </c>
      <c r="D127" s="78" t="s">
        <v>765</v>
      </c>
      <c r="E127" s="184" t="s">
        <v>164</v>
      </c>
      <c r="F127" s="185">
        <v>1</v>
      </c>
      <c r="G127" s="186">
        <f>CPU!H150</f>
        <v>1585.25</v>
      </c>
      <c r="H127" s="186">
        <f t="shared" ref="H127" si="62">G127*(1+$J$2)</f>
        <v>1941.4556749999999</v>
      </c>
      <c r="I127" s="186">
        <f>G127*F127</f>
        <v>1585.25</v>
      </c>
      <c r="J127" s="186">
        <f>H127*F127</f>
        <v>1941.4556749999999</v>
      </c>
    </row>
    <row r="128" spans="1:14" s="270" customFormat="1" x14ac:dyDescent="0.25">
      <c r="A128" s="69" t="s">
        <v>69</v>
      </c>
      <c r="B128" s="70"/>
      <c r="C128" s="70"/>
      <c r="D128" s="70" t="s">
        <v>464</v>
      </c>
      <c r="E128" s="70"/>
      <c r="F128" s="70"/>
      <c r="G128" s="311"/>
      <c r="H128" s="311"/>
      <c r="I128" s="312">
        <f ca="1">SUM(I129:I138)</f>
        <v>8386.492000000002</v>
      </c>
      <c r="J128" s="312">
        <f ca="1">SUM(J129:J138)</f>
        <v>10270.936752399999</v>
      </c>
      <c r="K128" s="206"/>
      <c r="N128" s="271"/>
    </row>
    <row r="129" spans="1:14" ht="30" x14ac:dyDescent="0.25">
      <c r="A129" s="184" t="s">
        <v>533</v>
      </c>
      <c r="B129" s="184">
        <v>98299</v>
      </c>
      <c r="C129" s="184" t="s">
        <v>153</v>
      </c>
      <c r="D129" s="78" t="s">
        <v>711</v>
      </c>
      <c r="E129" s="184" t="s">
        <v>156</v>
      </c>
      <c r="F129" s="185">
        <v>160</v>
      </c>
      <c r="G129" s="186">
        <v>18.48</v>
      </c>
      <c r="H129" s="186">
        <f t="shared" ref="H129" si="63">G129*(1+$J$2)</f>
        <v>22.632455999999998</v>
      </c>
      <c r="I129" s="186">
        <f>G129*F129</f>
        <v>2956.8</v>
      </c>
      <c r="J129" s="186">
        <f>H129*F129</f>
        <v>3621.1929599999994</v>
      </c>
    </row>
    <row r="130" spans="1:14" x14ac:dyDescent="0.25">
      <c r="A130" s="184" t="s">
        <v>534</v>
      </c>
      <c r="B130" s="184" t="s">
        <v>790</v>
      </c>
      <c r="C130" s="184" t="s">
        <v>176</v>
      </c>
      <c r="D130" s="78" t="s">
        <v>716</v>
      </c>
      <c r="E130" s="184" t="s">
        <v>164</v>
      </c>
      <c r="F130" s="185">
        <v>4</v>
      </c>
      <c r="G130" s="186">
        <f ca="1">CPU!G155</f>
        <v>16.428000000000001</v>
      </c>
      <c r="H130" s="186">
        <f ca="1">G130*(1+$J$2)</f>
        <v>20.119371600000001</v>
      </c>
      <c r="I130" s="186">
        <f t="shared" ref="I130" ca="1" si="64">G130*F130</f>
        <v>65.712000000000003</v>
      </c>
      <c r="J130" s="186">
        <f t="shared" ref="J130" ca="1" si="65">H130*F130</f>
        <v>80.477486400000004</v>
      </c>
    </row>
    <row r="131" spans="1:14" x14ac:dyDescent="0.25">
      <c r="A131" s="184" t="s">
        <v>535</v>
      </c>
      <c r="B131" s="184">
        <v>10268</v>
      </c>
      <c r="C131" s="184" t="s">
        <v>153</v>
      </c>
      <c r="D131" s="78" t="s">
        <v>701</v>
      </c>
      <c r="E131" s="184" t="s">
        <v>164</v>
      </c>
      <c r="F131" s="185">
        <v>4</v>
      </c>
      <c r="G131" s="186">
        <v>35.82</v>
      </c>
      <c r="H131" s="186">
        <f>G131*(1+$J$2)</f>
        <v>43.868753999999996</v>
      </c>
      <c r="I131" s="186">
        <f t="shared" ref="I131" si="66">G131*F131</f>
        <v>143.28</v>
      </c>
      <c r="J131" s="186">
        <f t="shared" ref="J131" si="67">H131*F131</f>
        <v>175.47501599999998</v>
      </c>
    </row>
    <row r="132" spans="1:14" x14ac:dyDescent="0.25">
      <c r="A132" s="184" t="s">
        <v>536</v>
      </c>
      <c r="B132" s="184">
        <v>12791</v>
      </c>
      <c r="C132" s="184" t="s">
        <v>153</v>
      </c>
      <c r="D132" s="78" t="s">
        <v>447</v>
      </c>
      <c r="E132" s="184" t="s">
        <v>164</v>
      </c>
      <c r="F132" s="185">
        <v>1</v>
      </c>
      <c r="G132" s="186">
        <v>3605.04</v>
      </c>
      <c r="H132" s="186">
        <f t="shared" ref="H132" si="68">G132*(1+$J$2)</f>
        <v>4415.0924879999993</v>
      </c>
      <c r="I132" s="186">
        <f>G132*F132</f>
        <v>3605.04</v>
      </c>
      <c r="J132" s="186">
        <f>H132*F132</f>
        <v>4415.0924879999993</v>
      </c>
    </row>
    <row r="133" spans="1:14" x14ac:dyDescent="0.25">
      <c r="A133" s="184" t="s">
        <v>537</v>
      </c>
      <c r="B133" s="184" t="s">
        <v>449</v>
      </c>
      <c r="C133" s="184" t="s">
        <v>8</v>
      </c>
      <c r="D133" s="78" t="s">
        <v>448</v>
      </c>
      <c r="E133" s="184" t="s">
        <v>164</v>
      </c>
      <c r="F133" s="185">
        <v>1</v>
      </c>
      <c r="G133" s="186">
        <v>1423.37</v>
      </c>
      <c r="H133" s="186">
        <f t="shared" ref="H133" si="69">G133*(1+$J$2)</f>
        <v>1743.2012389999998</v>
      </c>
      <c r="I133" s="186">
        <f t="shared" ref="I133" si="70">G133*F133</f>
        <v>1423.37</v>
      </c>
      <c r="J133" s="186">
        <f t="shared" ref="J133" si="71">H133*F133</f>
        <v>1743.2012389999998</v>
      </c>
    </row>
    <row r="134" spans="1:14" x14ac:dyDescent="0.25">
      <c r="A134" s="184" t="s">
        <v>538</v>
      </c>
      <c r="B134" s="184" t="s">
        <v>451</v>
      </c>
      <c r="C134" s="184" t="s">
        <v>8</v>
      </c>
      <c r="D134" s="78" t="s">
        <v>450</v>
      </c>
      <c r="E134" s="184" t="s">
        <v>421</v>
      </c>
      <c r="F134" s="185">
        <v>1</v>
      </c>
      <c r="G134" s="186">
        <v>141.09</v>
      </c>
      <c r="H134" s="186">
        <f>G134*(1+$J$2)</f>
        <v>172.792923</v>
      </c>
      <c r="I134" s="186">
        <f>G134*F134</f>
        <v>141.09</v>
      </c>
      <c r="J134" s="186">
        <f>H134*F134</f>
        <v>172.792923</v>
      </c>
    </row>
    <row r="135" spans="1:14" x14ac:dyDescent="0.25">
      <c r="A135" s="184" t="s">
        <v>732</v>
      </c>
      <c r="B135" s="184">
        <v>1688</v>
      </c>
      <c r="C135" s="78" t="s">
        <v>153</v>
      </c>
      <c r="D135" s="78" t="s">
        <v>463</v>
      </c>
      <c r="E135" s="184" t="s">
        <v>164</v>
      </c>
      <c r="F135" s="185">
        <v>1</v>
      </c>
      <c r="G135" s="186">
        <v>0.81</v>
      </c>
      <c r="H135" s="186">
        <f>G135*(1+$J$2)</f>
        <v>0.99200699999999997</v>
      </c>
      <c r="I135" s="186">
        <f>G135*F135</f>
        <v>0.81</v>
      </c>
      <c r="J135" s="186">
        <f>H135*F135</f>
        <v>0.99200699999999997</v>
      </c>
    </row>
    <row r="136" spans="1:14" x14ac:dyDescent="0.25">
      <c r="A136" s="184" t="s">
        <v>733</v>
      </c>
      <c r="B136" s="190" t="str">
        <f>'COT.'!A170</f>
        <v>COT-29</v>
      </c>
      <c r="C136" s="184" t="s">
        <v>176</v>
      </c>
      <c r="D136" s="78" t="s">
        <v>699</v>
      </c>
      <c r="E136" s="184" t="s">
        <v>421</v>
      </c>
      <c r="F136" s="185">
        <v>1</v>
      </c>
      <c r="G136" s="186">
        <f ca="1">'COT.'!E170</f>
        <v>34.99</v>
      </c>
      <c r="H136" s="186">
        <f t="shared" ref="H136" ca="1" si="72">G136*(1+$J$2)</f>
        <v>42.852252999999997</v>
      </c>
      <c r="I136" s="186">
        <f ca="1">G136*F136</f>
        <v>34.99</v>
      </c>
      <c r="J136" s="186">
        <f ca="1">H136*F136</f>
        <v>42.852252999999997</v>
      </c>
    </row>
    <row r="137" spans="1:14" x14ac:dyDescent="0.25">
      <c r="A137" s="184" t="s">
        <v>734</v>
      </c>
      <c r="B137" s="184">
        <v>3252</v>
      </c>
      <c r="C137" s="184" t="s">
        <v>153</v>
      </c>
      <c r="D137" s="78" t="s">
        <v>407</v>
      </c>
      <c r="E137" s="184" t="s">
        <v>164</v>
      </c>
      <c r="F137" s="185">
        <v>10</v>
      </c>
      <c r="G137" s="186">
        <v>0.97</v>
      </c>
      <c r="H137" s="186">
        <f>G137*(1+$J$2)</f>
        <v>1.1879589999999998</v>
      </c>
      <c r="I137" s="186">
        <f>G137*F137</f>
        <v>9.6999999999999993</v>
      </c>
      <c r="J137" s="186">
        <f>H137*F137</f>
        <v>11.879589999999997</v>
      </c>
    </row>
    <row r="138" spans="1:14" x14ac:dyDescent="0.25">
      <c r="A138" s="184" t="s">
        <v>735</v>
      </c>
      <c r="B138" s="190" t="str">
        <f>'COT.'!A152</f>
        <v>COT-26</v>
      </c>
      <c r="C138" s="184" t="s">
        <v>176</v>
      </c>
      <c r="D138" s="78" t="s">
        <v>690</v>
      </c>
      <c r="E138" s="184" t="s">
        <v>421</v>
      </c>
      <c r="F138" s="185">
        <v>1</v>
      </c>
      <c r="G138" s="186">
        <f ca="1">'COT.'!E152</f>
        <v>5.7</v>
      </c>
      <c r="H138" s="186">
        <f ca="1">G138*(1+$J$2)</f>
        <v>6.9807899999999998</v>
      </c>
      <c r="I138" s="186">
        <f ca="1">G138*F138</f>
        <v>5.7</v>
      </c>
      <c r="J138" s="186">
        <f ca="1">H138*F138</f>
        <v>6.9807899999999998</v>
      </c>
    </row>
    <row r="139" spans="1:14" s="270" customFormat="1" x14ac:dyDescent="0.25">
      <c r="A139" s="69" t="s">
        <v>70</v>
      </c>
      <c r="B139" s="70"/>
      <c r="C139" s="70"/>
      <c r="D139" s="70" t="s">
        <v>460</v>
      </c>
      <c r="E139" s="70"/>
      <c r="F139" s="70"/>
      <c r="G139" s="311"/>
      <c r="H139" s="311"/>
      <c r="I139" s="312">
        <f>SUM(I140:I142)</f>
        <v>17831.940000000002</v>
      </c>
      <c r="J139" s="312">
        <f>SUM(J140:J142)</f>
        <v>21838.776918</v>
      </c>
      <c r="K139" s="206"/>
      <c r="N139" s="271"/>
    </row>
    <row r="140" spans="1:14" x14ac:dyDescent="0.25">
      <c r="A140" s="184" t="s">
        <v>539</v>
      </c>
      <c r="B140" s="184" t="s">
        <v>462</v>
      </c>
      <c r="C140" s="184" t="s">
        <v>8</v>
      </c>
      <c r="D140" s="78" t="s">
        <v>461</v>
      </c>
      <c r="E140" s="184" t="s">
        <v>156</v>
      </c>
      <c r="F140" s="185">
        <v>1870</v>
      </c>
      <c r="G140" s="186">
        <v>9.1300000000000008</v>
      </c>
      <c r="H140" s="186">
        <f t="shared" ref="H140:H142" si="73">G140*(1+$J$2)</f>
        <v>11.181511</v>
      </c>
      <c r="I140" s="186">
        <f>G140*F140</f>
        <v>17073.100000000002</v>
      </c>
      <c r="J140" s="186">
        <f>H140*F140</f>
        <v>20909.425569999999</v>
      </c>
    </row>
    <row r="141" spans="1:14" x14ac:dyDescent="0.25">
      <c r="A141" s="184" t="s">
        <v>736</v>
      </c>
      <c r="B141" s="184">
        <v>10268</v>
      </c>
      <c r="C141" s="184" t="s">
        <v>153</v>
      </c>
      <c r="D141" s="78" t="s">
        <v>701</v>
      </c>
      <c r="E141" s="184" t="s">
        <v>164</v>
      </c>
      <c r="F141" s="185">
        <v>18</v>
      </c>
      <c r="G141" s="186">
        <v>35.82</v>
      </c>
      <c r="H141" s="186">
        <f t="shared" si="73"/>
        <v>43.868753999999996</v>
      </c>
      <c r="I141" s="186">
        <f t="shared" ref="I141:I142" si="74">G141*F141</f>
        <v>644.76</v>
      </c>
      <c r="J141" s="186">
        <f t="shared" ref="J141:J142" si="75">H141*F141</f>
        <v>789.63757199999986</v>
      </c>
    </row>
    <row r="142" spans="1:14" ht="30" x14ac:dyDescent="0.25">
      <c r="A142" s="184" t="s">
        <v>737</v>
      </c>
      <c r="B142" s="184" t="s">
        <v>455</v>
      </c>
      <c r="C142" s="184" t="s">
        <v>8</v>
      </c>
      <c r="D142" s="78" t="s">
        <v>456</v>
      </c>
      <c r="E142" s="184" t="s">
        <v>164</v>
      </c>
      <c r="F142" s="185">
        <v>4</v>
      </c>
      <c r="G142" s="186">
        <v>28.52</v>
      </c>
      <c r="H142" s="186">
        <f t="shared" si="73"/>
        <v>34.928443999999999</v>
      </c>
      <c r="I142" s="186">
        <f t="shared" si="74"/>
        <v>114.08</v>
      </c>
      <c r="J142" s="186">
        <f t="shared" si="75"/>
        <v>139.713776</v>
      </c>
    </row>
    <row r="143" spans="1:14" s="270" customFormat="1" x14ac:dyDescent="0.25">
      <c r="A143" s="69" t="s">
        <v>71</v>
      </c>
      <c r="B143" s="70"/>
      <c r="C143" s="70"/>
      <c r="D143" s="70" t="s">
        <v>457</v>
      </c>
      <c r="E143" s="70"/>
      <c r="F143" s="70"/>
      <c r="G143" s="311"/>
      <c r="H143" s="311"/>
      <c r="I143" s="312">
        <f>SUM(I144)</f>
        <v>577.19999999999993</v>
      </c>
      <c r="J143" s="312">
        <f>SUM(J144)</f>
        <v>706.89684</v>
      </c>
      <c r="K143" s="206"/>
      <c r="N143" s="271"/>
    </row>
    <row r="144" spans="1:14" x14ac:dyDescent="0.25">
      <c r="A144" s="184" t="s">
        <v>540</v>
      </c>
      <c r="B144" s="184" t="s">
        <v>459</v>
      </c>
      <c r="C144" s="184" t="s">
        <v>8</v>
      </c>
      <c r="D144" s="78" t="s">
        <v>458</v>
      </c>
      <c r="E144" s="184" t="s">
        <v>164</v>
      </c>
      <c r="F144" s="185">
        <v>37</v>
      </c>
      <c r="G144" s="186">
        <v>15.6</v>
      </c>
      <c r="H144" s="186">
        <f t="shared" ref="H144" si="76">G144*(1+$J$2)</f>
        <v>19.105319999999999</v>
      </c>
      <c r="I144" s="186">
        <f>G144*F144</f>
        <v>577.19999999999993</v>
      </c>
      <c r="J144" s="186">
        <f>H144*F144</f>
        <v>706.89684</v>
      </c>
    </row>
    <row r="145" spans="1:14" s="270" customFormat="1" x14ac:dyDescent="0.25">
      <c r="A145" s="69" t="s">
        <v>72</v>
      </c>
      <c r="B145" s="70"/>
      <c r="C145" s="70"/>
      <c r="D145" s="70" t="s">
        <v>408</v>
      </c>
      <c r="E145" s="70"/>
      <c r="F145" s="70"/>
      <c r="G145" s="311"/>
      <c r="H145" s="311"/>
      <c r="I145" s="312">
        <f>SUM(I146:I153)</f>
        <v>6354.0659999999998</v>
      </c>
      <c r="J145" s="312">
        <f>SUM(J146:J153)</f>
        <v>7781.8246301999998</v>
      </c>
      <c r="K145" s="206"/>
      <c r="N145" s="271"/>
    </row>
    <row r="146" spans="1:14" ht="30" x14ac:dyDescent="0.25">
      <c r="A146" s="184" t="s">
        <v>541</v>
      </c>
      <c r="B146" s="184" t="s">
        <v>410</v>
      </c>
      <c r="C146" s="184" t="s">
        <v>8</v>
      </c>
      <c r="D146" s="78" t="s">
        <v>702</v>
      </c>
      <c r="E146" s="184" t="s">
        <v>156</v>
      </c>
      <c r="F146" s="185">
        <f>20*3</f>
        <v>60</v>
      </c>
      <c r="G146" s="186">
        <v>28.94</v>
      </c>
      <c r="H146" s="186">
        <f t="shared" ref="H146:H153" si="77">G146*(1+$J$2)</f>
        <v>35.442817999999995</v>
      </c>
      <c r="I146" s="186">
        <f>G146*F146</f>
        <v>1736.4</v>
      </c>
      <c r="J146" s="186">
        <f>H146*F146</f>
        <v>2126.5690799999998</v>
      </c>
    </row>
    <row r="147" spans="1:14" ht="30" x14ac:dyDescent="0.25">
      <c r="A147" s="184" t="s">
        <v>542</v>
      </c>
      <c r="B147" s="184" t="s">
        <v>704</v>
      </c>
      <c r="C147" s="184" t="s">
        <v>8</v>
      </c>
      <c r="D147" s="78" t="s">
        <v>703</v>
      </c>
      <c r="E147" s="184" t="s">
        <v>156</v>
      </c>
      <c r="F147" s="185">
        <f>18*3</f>
        <v>54</v>
      </c>
      <c r="G147" s="186">
        <v>25.89</v>
      </c>
      <c r="H147" s="186">
        <f t="shared" si="77"/>
        <v>31.707483</v>
      </c>
      <c r="I147" s="186">
        <f t="shared" ref="I147:I153" si="78">G147*F147</f>
        <v>1398.06</v>
      </c>
      <c r="J147" s="186">
        <f t="shared" ref="J147:J153" si="79">H147*F147</f>
        <v>1712.204082</v>
      </c>
    </row>
    <row r="148" spans="1:14" x14ac:dyDescent="0.25">
      <c r="A148" s="184" t="s">
        <v>543</v>
      </c>
      <c r="B148" s="184" t="s">
        <v>453</v>
      </c>
      <c r="C148" s="184" t="s">
        <v>441</v>
      </c>
      <c r="D148" s="78" t="s">
        <v>454</v>
      </c>
      <c r="E148" s="184" t="s">
        <v>164</v>
      </c>
      <c r="F148" s="185">
        <v>54</v>
      </c>
      <c r="G148" s="186">
        <f>CPU!$H$160</f>
        <v>6.3640000000000008</v>
      </c>
      <c r="H148" s="186">
        <f>G148*(1+$J$2)</f>
        <v>7.7939908000000004</v>
      </c>
      <c r="I148" s="186">
        <f>G148*F148</f>
        <v>343.65600000000006</v>
      </c>
      <c r="J148" s="186">
        <f>H148*F148</f>
        <v>420.87550320000003</v>
      </c>
    </row>
    <row r="149" spans="1:14" ht="30" x14ac:dyDescent="0.25">
      <c r="A149" s="184" t="s">
        <v>544</v>
      </c>
      <c r="B149" s="184">
        <v>91940</v>
      </c>
      <c r="C149" s="184" t="s">
        <v>19</v>
      </c>
      <c r="D149" s="78" t="s">
        <v>172</v>
      </c>
      <c r="E149" s="184" t="s">
        <v>164</v>
      </c>
      <c r="F149" s="185">
        <v>38</v>
      </c>
      <c r="G149" s="186">
        <v>17.89</v>
      </c>
      <c r="H149" s="186">
        <f>G149*(1+$J$2)</f>
        <v>21.909883000000001</v>
      </c>
      <c r="I149" s="186">
        <f>G149*F149</f>
        <v>679.82</v>
      </c>
      <c r="J149" s="186">
        <f>H149*F149</f>
        <v>832.57555400000001</v>
      </c>
    </row>
    <row r="150" spans="1:14" ht="30" x14ac:dyDescent="0.25">
      <c r="A150" s="184" t="s">
        <v>738</v>
      </c>
      <c r="B150" s="184" t="s">
        <v>705</v>
      </c>
      <c r="C150" s="184" t="s">
        <v>8</v>
      </c>
      <c r="D150" s="78" t="s">
        <v>706</v>
      </c>
      <c r="E150" s="184" t="s">
        <v>164</v>
      </c>
      <c r="F150" s="185">
        <v>18</v>
      </c>
      <c r="G150" s="186">
        <v>68.75</v>
      </c>
      <c r="H150" s="186">
        <f t="shared" ref="H150" si="80">G150*(1+$J$2)</f>
        <v>84.19812499999999</v>
      </c>
      <c r="I150" s="186">
        <f t="shared" ref="I150" si="81">G150*F150</f>
        <v>1237.5</v>
      </c>
      <c r="J150" s="186">
        <f t="shared" ref="J150" si="82">H150*F150</f>
        <v>1515.5662499999999</v>
      </c>
    </row>
    <row r="151" spans="1:14" ht="30" x14ac:dyDescent="0.25">
      <c r="A151" s="184" t="s">
        <v>739</v>
      </c>
      <c r="B151" s="184" t="s">
        <v>708</v>
      </c>
      <c r="C151" s="184" t="s">
        <v>8</v>
      </c>
      <c r="D151" s="78" t="s">
        <v>707</v>
      </c>
      <c r="E151" s="184" t="s">
        <v>164</v>
      </c>
      <c r="F151" s="185">
        <v>1</v>
      </c>
      <c r="G151" s="186">
        <v>39.549999999999997</v>
      </c>
      <c r="H151" s="186">
        <f t="shared" ref="H151" si="83">G151*(1+$J$2)</f>
        <v>48.43688499999999</v>
      </c>
      <c r="I151" s="186">
        <f t="shared" ref="I151" si="84">G151*F151</f>
        <v>39.549999999999997</v>
      </c>
      <c r="J151" s="186">
        <f t="shared" ref="J151" si="85">H151*F151</f>
        <v>48.43688499999999</v>
      </c>
    </row>
    <row r="152" spans="1:14" ht="30" x14ac:dyDescent="0.25">
      <c r="A152" s="184" t="s">
        <v>740</v>
      </c>
      <c r="B152" s="184">
        <v>95802</v>
      </c>
      <c r="C152" s="184" t="s">
        <v>19</v>
      </c>
      <c r="D152" s="78" t="s">
        <v>415</v>
      </c>
      <c r="E152" s="184" t="s">
        <v>164</v>
      </c>
      <c r="F152" s="185">
        <v>15</v>
      </c>
      <c r="G152" s="186">
        <v>49.26</v>
      </c>
      <c r="H152" s="186">
        <f t="shared" si="77"/>
        <v>60.328721999999992</v>
      </c>
      <c r="I152" s="186">
        <f t="shared" si="78"/>
        <v>738.9</v>
      </c>
      <c r="J152" s="186">
        <f t="shared" si="79"/>
        <v>904.9308299999999</v>
      </c>
    </row>
    <row r="153" spans="1:14" x14ac:dyDescent="0.25">
      <c r="A153" s="184" t="s">
        <v>741</v>
      </c>
      <c r="B153" s="184">
        <v>11303</v>
      </c>
      <c r="C153" s="184" t="s">
        <v>153</v>
      </c>
      <c r="D153" s="78" t="s">
        <v>446</v>
      </c>
      <c r="E153" s="184" t="s">
        <v>164</v>
      </c>
      <c r="F153" s="185">
        <v>33</v>
      </c>
      <c r="G153" s="186">
        <v>5.46</v>
      </c>
      <c r="H153" s="186">
        <f t="shared" si="77"/>
        <v>6.6868619999999996</v>
      </c>
      <c r="I153" s="186">
        <f t="shared" si="78"/>
        <v>180.18</v>
      </c>
      <c r="J153" s="186">
        <f t="shared" si="79"/>
        <v>220.66644599999998</v>
      </c>
    </row>
    <row r="154" spans="1:14" s="270" customFormat="1" x14ac:dyDescent="0.25">
      <c r="A154" s="69" t="s">
        <v>742</v>
      </c>
      <c r="B154" s="70"/>
      <c r="C154" s="70"/>
      <c r="D154" s="70" t="s">
        <v>424</v>
      </c>
      <c r="E154" s="70"/>
      <c r="F154" s="70"/>
      <c r="G154" s="311"/>
      <c r="H154" s="311"/>
      <c r="I154" s="312">
        <f>SUM(I155:I158)</f>
        <v>118.96000000000001</v>
      </c>
      <c r="J154" s="312">
        <f>SUM(J155:J158)</f>
        <v>145.69031200000001</v>
      </c>
      <c r="K154" s="206"/>
      <c r="N154" s="271"/>
    </row>
    <row r="155" spans="1:14" ht="30" x14ac:dyDescent="0.25">
      <c r="A155" s="184" t="s">
        <v>513</v>
      </c>
      <c r="B155" s="184">
        <v>724</v>
      </c>
      <c r="C155" s="184" t="s">
        <v>153</v>
      </c>
      <c r="D155" s="78" t="s">
        <v>425</v>
      </c>
      <c r="E155" s="184" t="s">
        <v>164</v>
      </c>
      <c r="F155" s="185">
        <v>8</v>
      </c>
      <c r="G155" s="186">
        <v>8.81</v>
      </c>
      <c r="H155" s="186">
        <f t="shared" ref="H155" si="86">G155*(1+$J$2)</f>
        <v>10.789607</v>
      </c>
      <c r="I155" s="186">
        <f t="shared" ref="I155" si="87">G155*F155</f>
        <v>70.48</v>
      </c>
      <c r="J155" s="186">
        <f t="shared" ref="J155" si="88">H155*F155</f>
        <v>86.316856000000001</v>
      </c>
    </row>
    <row r="156" spans="1:14" x14ac:dyDescent="0.25">
      <c r="A156" s="184" t="s">
        <v>514</v>
      </c>
      <c r="B156" s="184">
        <v>9816</v>
      </c>
      <c r="C156" s="184" t="s">
        <v>153</v>
      </c>
      <c r="D156" s="78" t="s">
        <v>427</v>
      </c>
      <c r="E156" s="184" t="s">
        <v>164</v>
      </c>
      <c r="F156" s="185">
        <v>16</v>
      </c>
      <c r="G156" s="186">
        <v>0.44</v>
      </c>
      <c r="H156" s="186">
        <f t="shared" ref="H156:H158" si="89">G156*(1+$J$2)</f>
        <v>0.53886800000000001</v>
      </c>
      <c r="I156" s="186">
        <f t="shared" ref="I156:I158" si="90">G156*F156</f>
        <v>7.04</v>
      </c>
      <c r="J156" s="186">
        <f t="shared" ref="J156:J158" si="91">H156*F156</f>
        <v>8.6218880000000002</v>
      </c>
    </row>
    <row r="157" spans="1:14" x14ac:dyDescent="0.25">
      <c r="A157" s="184" t="s">
        <v>515</v>
      </c>
      <c r="B157" s="184">
        <v>12494</v>
      </c>
      <c r="C157" s="184" t="s">
        <v>153</v>
      </c>
      <c r="D157" s="78" t="s">
        <v>428</v>
      </c>
      <c r="E157" s="184" t="s">
        <v>164</v>
      </c>
      <c r="F157" s="185">
        <v>8</v>
      </c>
      <c r="G157" s="186">
        <v>4.0999999999999996</v>
      </c>
      <c r="H157" s="186">
        <f t="shared" si="89"/>
        <v>5.0212699999999995</v>
      </c>
      <c r="I157" s="186">
        <f t="shared" si="90"/>
        <v>32.799999999999997</v>
      </c>
      <c r="J157" s="186">
        <f t="shared" si="91"/>
        <v>40.170159999999996</v>
      </c>
    </row>
    <row r="158" spans="1:14" x14ac:dyDescent="0.25">
      <c r="A158" s="184" t="s">
        <v>516</v>
      </c>
      <c r="B158" s="184">
        <v>9832</v>
      </c>
      <c r="C158" s="184" t="s">
        <v>153</v>
      </c>
      <c r="D158" s="78" t="s">
        <v>429</v>
      </c>
      <c r="E158" s="184" t="s">
        <v>164</v>
      </c>
      <c r="F158" s="185">
        <v>8</v>
      </c>
      <c r="G158" s="186">
        <v>1.08</v>
      </c>
      <c r="H158" s="186">
        <f t="shared" si="89"/>
        <v>1.322676</v>
      </c>
      <c r="I158" s="186">
        <f t="shared" si="90"/>
        <v>8.64</v>
      </c>
      <c r="J158" s="186">
        <f t="shared" si="91"/>
        <v>10.581408</v>
      </c>
    </row>
    <row r="159" spans="1:14" x14ac:dyDescent="0.25">
      <c r="A159" s="218"/>
      <c r="B159" s="219"/>
      <c r="C159" s="219"/>
      <c r="D159" s="219"/>
      <c r="E159" s="219"/>
      <c r="F159" s="219"/>
      <c r="G159" s="219"/>
      <c r="H159" s="219"/>
      <c r="I159" s="219"/>
      <c r="J159" s="220"/>
    </row>
    <row r="160" spans="1:14" s="267" customFormat="1" x14ac:dyDescent="0.25">
      <c r="A160" s="3">
        <v>10</v>
      </c>
      <c r="B160" s="4"/>
      <c r="C160" s="4"/>
      <c r="D160" s="4" t="s">
        <v>182</v>
      </c>
      <c r="E160" s="4"/>
      <c r="F160" s="4"/>
      <c r="G160" s="309"/>
      <c r="H160" s="309"/>
      <c r="I160" s="305">
        <f>SUM(I161:I163)</f>
        <v>591.46</v>
      </c>
      <c r="J160" s="305">
        <f>SUM(J161:J163)</f>
        <v>724.36106199999995</v>
      </c>
      <c r="K160" s="206"/>
      <c r="N160" s="268"/>
    </row>
    <row r="161" spans="1:14" x14ac:dyDescent="0.25">
      <c r="A161" s="184" t="s">
        <v>98</v>
      </c>
      <c r="B161" s="184" t="s">
        <v>616</v>
      </c>
      <c r="C161" s="78" t="s">
        <v>153</v>
      </c>
      <c r="D161" s="203" t="s">
        <v>467</v>
      </c>
      <c r="E161" s="184" t="s">
        <v>164</v>
      </c>
      <c r="F161" s="185">
        <f>MC!$J$164</f>
        <v>10</v>
      </c>
      <c r="G161" s="186">
        <f>CPU!$H$165</f>
        <v>25.07</v>
      </c>
      <c r="H161" s="186">
        <f t="shared" ref="H161:H162" si="92">G161*(1+$J$2)</f>
        <v>30.703228999999997</v>
      </c>
      <c r="I161" s="189">
        <f>G161*F161</f>
        <v>250.7</v>
      </c>
      <c r="J161" s="189">
        <f>H161*F161</f>
        <v>307.03228999999999</v>
      </c>
    </row>
    <row r="162" spans="1:14" x14ac:dyDescent="0.25">
      <c r="A162" s="184" t="s">
        <v>73</v>
      </c>
      <c r="B162" s="184" t="s">
        <v>615</v>
      </c>
      <c r="C162" s="78" t="s">
        <v>153</v>
      </c>
      <c r="D162" s="203" t="s">
        <v>547</v>
      </c>
      <c r="E162" s="184" t="s">
        <v>164</v>
      </c>
      <c r="F162" s="185">
        <f>MC!J170</f>
        <v>10</v>
      </c>
      <c r="G162" s="186">
        <f>CPU!$H$169</f>
        <v>25.07</v>
      </c>
      <c r="H162" s="186">
        <f t="shared" si="92"/>
        <v>30.703228999999997</v>
      </c>
      <c r="I162" s="189">
        <f>G162*F162</f>
        <v>250.7</v>
      </c>
      <c r="J162" s="189">
        <f>H162*F162</f>
        <v>307.03228999999999</v>
      </c>
    </row>
    <row r="163" spans="1:14" ht="30" x14ac:dyDescent="0.25">
      <c r="A163" s="184" t="s">
        <v>743</v>
      </c>
      <c r="B163" s="184" t="s">
        <v>720</v>
      </c>
      <c r="C163" s="78" t="s">
        <v>8</v>
      </c>
      <c r="D163" s="203" t="s">
        <v>719</v>
      </c>
      <c r="E163" s="184" t="s">
        <v>164</v>
      </c>
      <c r="F163" s="185">
        <v>3</v>
      </c>
      <c r="G163" s="186">
        <v>30.02</v>
      </c>
      <c r="H163" s="186">
        <f t="shared" ref="H163" si="93">G163*(1+$J$2)</f>
        <v>36.765493999999997</v>
      </c>
      <c r="I163" s="189">
        <f>G163*F163</f>
        <v>90.06</v>
      </c>
      <c r="J163" s="189">
        <f>H163*F163</f>
        <v>110.296482</v>
      </c>
    </row>
    <row r="164" spans="1:14" x14ac:dyDescent="0.25">
      <c r="A164" s="218"/>
      <c r="B164" s="219"/>
      <c r="C164" s="219"/>
      <c r="D164" s="219"/>
      <c r="E164" s="219"/>
      <c r="F164" s="219"/>
      <c r="G164" s="219"/>
      <c r="H164" s="219"/>
      <c r="I164" s="219"/>
      <c r="J164" s="220"/>
    </row>
    <row r="165" spans="1:14" s="267" customFormat="1" x14ac:dyDescent="0.25">
      <c r="A165" s="3">
        <v>11</v>
      </c>
      <c r="B165" s="4"/>
      <c r="C165" s="4"/>
      <c r="D165" s="4" t="s">
        <v>183</v>
      </c>
      <c r="E165" s="4"/>
      <c r="F165" s="4"/>
      <c r="G165" s="309"/>
      <c r="H165" s="309"/>
      <c r="I165" s="305">
        <f ca="1">SUM(I166:I180)</f>
        <v>13430.44385</v>
      </c>
      <c r="J165" s="305">
        <f ca="1">SUM(J166:J180)</f>
        <v>15991.561833095</v>
      </c>
      <c r="K165" s="206"/>
      <c r="N165" s="268"/>
    </row>
    <row r="166" spans="1:14" ht="30" x14ac:dyDescent="0.25">
      <c r="A166" s="184" t="s">
        <v>74</v>
      </c>
      <c r="B166" s="184">
        <v>9842</v>
      </c>
      <c r="C166" s="78" t="s">
        <v>153</v>
      </c>
      <c r="D166" s="203" t="s">
        <v>571</v>
      </c>
      <c r="E166" s="184" t="s">
        <v>156</v>
      </c>
      <c r="F166" s="185">
        <v>30</v>
      </c>
      <c r="G166" s="186">
        <v>80.37</v>
      </c>
      <c r="H166" s="186">
        <f t="shared" ref="H166:H175" si="94">G166*(1+$J$2)</f>
        <v>98.429138999999992</v>
      </c>
      <c r="I166" s="186">
        <f>G166*F166</f>
        <v>2411.1000000000004</v>
      </c>
      <c r="J166" s="186">
        <f>H166*F166</f>
        <v>2952.8741699999996</v>
      </c>
    </row>
    <row r="167" spans="1:14" ht="30" x14ac:dyDescent="0.25">
      <c r="A167" s="184" t="s">
        <v>75</v>
      </c>
      <c r="B167" s="184">
        <v>89714</v>
      </c>
      <c r="C167" s="184" t="s">
        <v>19</v>
      </c>
      <c r="D167" s="203" t="s">
        <v>572</v>
      </c>
      <c r="E167" s="184" t="s">
        <v>156</v>
      </c>
      <c r="F167" s="185">
        <v>1.5</v>
      </c>
      <c r="G167" s="186">
        <v>38.049999999999997</v>
      </c>
      <c r="H167" s="186">
        <f t="shared" si="94"/>
        <v>46.599834999999992</v>
      </c>
      <c r="I167" s="186">
        <f t="shared" ref="I167:I180" si="95">G167*F167</f>
        <v>57.074999999999996</v>
      </c>
      <c r="J167" s="186">
        <f t="shared" ref="J167:J180" si="96">H167*F167</f>
        <v>69.899752499999991</v>
      </c>
    </row>
    <row r="168" spans="1:14" ht="45" x14ac:dyDescent="0.25">
      <c r="A168" s="184" t="s">
        <v>744</v>
      </c>
      <c r="B168" s="184">
        <v>97331</v>
      </c>
      <c r="C168" s="184" t="s">
        <v>19</v>
      </c>
      <c r="D168" s="78" t="s">
        <v>574</v>
      </c>
      <c r="E168" s="184" t="s">
        <v>156</v>
      </c>
      <c r="F168" s="185">
        <v>10</v>
      </c>
      <c r="G168" s="186">
        <v>26.82</v>
      </c>
      <c r="H168" s="186">
        <f t="shared" si="94"/>
        <v>32.846453999999994</v>
      </c>
      <c r="I168" s="186">
        <f t="shared" si="95"/>
        <v>268.2</v>
      </c>
      <c r="J168" s="186">
        <f t="shared" si="96"/>
        <v>328.46453999999994</v>
      </c>
    </row>
    <row r="169" spans="1:14" ht="45" x14ac:dyDescent="0.25">
      <c r="A169" s="184" t="s">
        <v>76</v>
      </c>
      <c r="B169" s="184">
        <v>97332</v>
      </c>
      <c r="C169" s="184" t="s">
        <v>19</v>
      </c>
      <c r="D169" s="78" t="s">
        <v>575</v>
      </c>
      <c r="E169" s="184" t="s">
        <v>156</v>
      </c>
      <c r="F169" s="185">
        <v>20</v>
      </c>
      <c r="G169" s="186">
        <v>44.52</v>
      </c>
      <c r="H169" s="186">
        <f t="shared" si="94"/>
        <v>54.523643999999997</v>
      </c>
      <c r="I169" s="186">
        <f t="shared" si="95"/>
        <v>890.40000000000009</v>
      </c>
      <c r="J169" s="186">
        <f t="shared" si="96"/>
        <v>1090.47288</v>
      </c>
    </row>
    <row r="170" spans="1:14" ht="45" x14ac:dyDescent="0.25">
      <c r="A170" s="184" t="s">
        <v>77</v>
      </c>
      <c r="B170" s="184">
        <v>97334</v>
      </c>
      <c r="C170" s="184" t="s">
        <v>19</v>
      </c>
      <c r="D170" s="78" t="s">
        <v>576</v>
      </c>
      <c r="E170" s="184" t="s">
        <v>156</v>
      </c>
      <c r="F170" s="185">
        <v>10</v>
      </c>
      <c r="G170" s="186">
        <v>69.17</v>
      </c>
      <c r="H170" s="186">
        <f t="shared" si="94"/>
        <v>84.712498999999994</v>
      </c>
      <c r="I170" s="186">
        <f t="shared" si="95"/>
        <v>691.7</v>
      </c>
      <c r="J170" s="186">
        <f t="shared" si="96"/>
        <v>847.12498999999991</v>
      </c>
    </row>
    <row r="171" spans="1:14" collapsed="1" x14ac:dyDescent="0.25">
      <c r="A171" s="184" t="s">
        <v>184</v>
      </c>
      <c r="B171" s="184" t="s">
        <v>577</v>
      </c>
      <c r="C171" s="78" t="s">
        <v>578</v>
      </c>
      <c r="D171" s="203" t="s">
        <v>564</v>
      </c>
      <c r="E171" s="184" t="s">
        <v>164</v>
      </c>
      <c r="F171" s="185">
        <v>3</v>
      </c>
      <c r="G171" s="186">
        <f ca="1">CPU!$H$173</f>
        <v>86.454000000000008</v>
      </c>
      <c r="H171" s="186">
        <f t="shared" ca="1" si="94"/>
        <v>105.88021380000001</v>
      </c>
      <c r="I171" s="186">
        <f t="shared" ca="1" si="95"/>
        <v>259.36200000000002</v>
      </c>
      <c r="J171" s="186">
        <f t="shared" ca="1" si="96"/>
        <v>317.64064140000005</v>
      </c>
    </row>
    <row r="172" spans="1:14" collapsed="1" x14ac:dyDescent="0.25">
      <c r="A172" s="184" t="s">
        <v>185</v>
      </c>
      <c r="B172" s="184" t="s">
        <v>582</v>
      </c>
      <c r="C172" s="78" t="s">
        <v>578</v>
      </c>
      <c r="D172" s="203" t="s">
        <v>565</v>
      </c>
      <c r="E172" s="184" t="s">
        <v>164</v>
      </c>
      <c r="F172" s="185">
        <v>1</v>
      </c>
      <c r="G172" s="186">
        <f ca="1">CPU!$H$177</f>
        <v>34.613999999999997</v>
      </c>
      <c r="H172" s="186">
        <f t="shared" ca="1" si="94"/>
        <v>42.391765799999995</v>
      </c>
      <c r="I172" s="186">
        <f t="shared" ca="1" si="95"/>
        <v>34.613999999999997</v>
      </c>
      <c r="J172" s="186">
        <f t="shared" ca="1" si="96"/>
        <v>42.391765799999995</v>
      </c>
    </row>
    <row r="173" spans="1:14" collapsed="1" x14ac:dyDescent="0.25">
      <c r="A173" s="184" t="s">
        <v>186</v>
      </c>
      <c r="B173" s="184" t="s">
        <v>581</v>
      </c>
      <c r="C173" s="78" t="s">
        <v>578</v>
      </c>
      <c r="D173" s="203" t="s">
        <v>580</v>
      </c>
      <c r="E173" s="184" t="s">
        <v>164</v>
      </c>
      <c r="F173" s="185">
        <v>1</v>
      </c>
      <c r="G173" s="186">
        <f ca="1">CPU!$H$181</f>
        <v>1480.1399999999999</v>
      </c>
      <c r="H173" s="186">
        <f t="shared" ref="H173" ca="1" si="97">G173*(1+$J$2)</f>
        <v>1812.7274579999996</v>
      </c>
      <c r="I173" s="186">
        <f t="shared" ca="1" si="95"/>
        <v>1480.1399999999999</v>
      </c>
      <c r="J173" s="186">
        <f t="shared" ca="1" si="96"/>
        <v>1812.7274579999996</v>
      </c>
    </row>
    <row r="174" spans="1:14" ht="36.75" customHeight="1" collapsed="1" x14ac:dyDescent="0.25">
      <c r="A174" s="184" t="s">
        <v>745</v>
      </c>
      <c r="B174" s="184" t="s">
        <v>583</v>
      </c>
      <c r="C174" s="78" t="s">
        <v>584</v>
      </c>
      <c r="D174" s="203" t="s">
        <v>776</v>
      </c>
      <c r="E174" s="184" t="s">
        <v>164</v>
      </c>
      <c r="F174" s="185">
        <v>1</v>
      </c>
      <c r="G174" s="186">
        <f ca="1">CPU!$H$187</f>
        <v>3064.4796000000001</v>
      </c>
      <c r="H174" s="186">
        <f t="shared" ca="1" si="94"/>
        <v>3753.0681661199997</v>
      </c>
      <c r="I174" s="186">
        <f t="shared" ca="1" si="95"/>
        <v>3064.4796000000001</v>
      </c>
      <c r="J174" s="186">
        <f t="shared" ca="1" si="96"/>
        <v>3753.0681661199997</v>
      </c>
    </row>
    <row r="175" spans="1:14" ht="30" x14ac:dyDescent="0.25">
      <c r="A175" s="184" t="s">
        <v>746</v>
      </c>
      <c r="B175" s="184" t="s">
        <v>791</v>
      </c>
      <c r="C175" s="184" t="s">
        <v>176</v>
      </c>
      <c r="D175" s="78" t="s">
        <v>777</v>
      </c>
      <c r="E175" s="184" t="s">
        <v>164</v>
      </c>
      <c r="F175" s="185">
        <v>1</v>
      </c>
      <c r="G175" s="186">
        <f ca="1">CPU!H199</f>
        <v>1010.38</v>
      </c>
      <c r="H175" s="186">
        <f t="shared" ca="1" si="94"/>
        <v>1237.412386</v>
      </c>
      <c r="I175" s="186">
        <f t="shared" ca="1" si="95"/>
        <v>1010.38</v>
      </c>
      <c r="J175" s="186">
        <f t="shared" ca="1" si="96"/>
        <v>1237.412386</v>
      </c>
    </row>
    <row r="176" spans="1:14" ht="32.25" customHeight="1" x14ac:dyDescent="0.25">
      <c r="A176" s="184" t="s">
        <v>187</v>
      </c>
      <c r="B176" s="184" t="s">
        <v>178</v>
      </c>
      <c r="C176" s="184" t="s">
        <v>176</v>
      </c>
      <c r="D176" s="78" t="s">
        <v>772</v>
      </c>
      <c r="E176" s="184" t="s">
        <v>164</v>
      </c>
      <c r="F176" s="185">
        <v>1</v>
      </c>
      <c r="G176" s="186">
        <f>CPU!H211</f>
        <v>358.64</v>
      </c>
      <c r="H176" s="186">
        <f t="shared" ref="H176" si="98">G176*(1+$I$2)</f>
        <v>358.64</v>
      </c>
      <c r="I176" s="186">
        <f t="shared" si="95"/>
        <v>358.64</v>
      </c>
      <c r="J176" s="186">
        <f t="shared" si="96"/>
        <v>358.64</v>
      </c>
      <c r="K176" s="183"/>
    </row>
    <row r="177" spans="1:14" ht="45" customHeight="1" x14ac:dyDescent="0.25">
      <c r="A177" s="184" t="s">
        <v>747</v>
      </c>
      <c r="B177" s="184" t="s">
        <v>179</v>
      </c>
      <c r="C177" s="184" t="s">
        <v>176</v>
      </c>
      <c r="D177" s="78" t="s">
        <v>773</v>
      </c>
      <c r="E177" s="184" t="s">
        <v>164</v>
      </c>
      <c r="F177" s="185">
        <v>1</v>
      </c>
      <c r="G177" s="186">
        <f ca="1">CPU!H215</f>
        <v>1673.8600000000001</v>
      </c>
      <c r="H177" s="186">
        <f t="shared" ref="H177" ca="1" si="99">G177*(1+$I$2)</f>
        <v>1673.8600000000001</v>
      </c>
      <c r="I177" s="186">
        <f t="shared" ca="1" si="95"/>
        <v>1673.8600000000001</v>
      </c>
      <c r="J177" s="186">
        <f t="shared" ca="1" si="96"/>
        <v>1673.8600000000001</v>
      </c>
      <c r="K177" s="183"/>
    </row>
    <row r="178" spans="1:14" x14ac:dyDescent="0.25">
      <c r="A178" s="184" t="s">
        <v>748</v>
      </c>
      <c r="B178" s="184" t="s">
        <v>180</v>
      </c>
      <c r="C178" s="184" t="s">
        <v>176</v>
      </c>
      <c r="D178" s="78" t="s">
        <v>597</v>
      </c>
      <c r="E178" s="184" t="s">
        <v>164</v>
      </c>
      <c r="F178" s="185">
        <v>1</v>
      </c>
      <c r="G178" s="186">
        <f>CPU!$H$227</f>
        <v>112.075</v>
      </c>
      <c r="H178" s="186">
        <f t="shared" ref="H178" si="100">G178*(1+$J$2)</f>
        <v>137.2582525</v>
      </c>
      <c r="I178" s="186">
        <f t="shared" si="95"/>
        <v>112.075</v>
      </c>
      <c r="J178" s="186">
        <f t="shared" si="96"/>
        <v>137.2582525</v>
      </c>
    </row>
    <row r="179" spans="1:14" x14ac:dyDescent="0.25">
      <c r="A179" s="184" t="s">
        <v>778</v>
      </c>
      <c r="B179" s="184" t="s">
        <v>598</v>
      </c>
      <c r="C179" s="184" t="s">
        <v>176</v>
      </c>
      <c r="D179" s="78" t="s">
        <v>599</v>
      </c>
      <c r="E179" s="184" t="s">
        <v>164</v>
      </c>
      <c r="F179" s="185">
        <v>1</v>
      </c>
      <c r="G179" s="186">
        <f>CPU!$H$231</f>
        <v>126.31</v>
      </c>
      <c r="H179" s="186">
        <f t="shared" ref="H179:H180" si="101">G179*(1+$J$2)</f>
        <v>154.691857</v>
      </c>
      <c r="I179" s="186">
        <f t="shared" si="95"/>
        <v>126.31</v>
      </c>
      <c r="J179" s="186">
        <f t="shared" si="96"/>
        <v>154.691857</v>
      </c>
    </row>
    <row r="180" spans="1:14" x14ac:dyDescent="0.25">
      <c r="A180" s="184" t="s">
        <v>779</v>
      </c>
      <c r="B180" s="184" t="s">
        <v>600</v>
      </c>
      <c r="C180" s="184" t="s">
        <v>153</v>
      </c>
      <c r="D180" s="78" t="s">
        <v>602</v>
      </c>
      <c r="E180" s="184" t="s">
        <v>104</v>
      </c>
      <c r="F180" s="185">
        <f>0.6*(F167+F168+F169)</f>
        <v>18.899999999999999</v>
      </c>
      <c r="G180" s="186">
        <f>CPU!$H$236</f>
        <v>52.4925</v>
      </c>
      <c r="H180" s="186">
        <f t="shared" si="101"/>
        <v>64.287564750000001</v>
      </c>
      <c r="I180" s="186">
        <f t="shared" si="95"/>
        <v>992.10824999999988</v>
      </c>
      <c r="J180" s="186">
        <f t="shared" si="96"/>
        <v>1215.034973775</v>
      </c>
    </row>
    <row r="181" spans="1:14" x14ac:dyDescent="0.25">
      <c r="A181" s="218"/>
      <c r="B181" s="219"/>
      <c r="C181" s="219"/>
      <c r="D181" s="219"/>
      <c r="E181" s="219"/>
      <c r="F181" s="219"/>
      <c r="G181" s="219"/>
      <c r="H181" s="219"/>
      <c r="I181" s="219"/>
      <c r="J181" s="220"/>
    </row>
    <row r="182" spans="1:14" s="267" customFormat="1" x14ac:dyDescent="0.25">
      <c r="A182" s="3">
        <v>12</v>
      </c>
      <c r="B182" s="4"/>
      <c r="C182" s="4"/>
      <c r="D182" s="4" t="s">
        <v>25</v>
      </c>
      <c r="E182" s="4"/>
      <c r="F182" s="4"/>
      <c r="G182" s="309"/>
      <c r="H182" s="309"/>
      <c r="I182" s="310">
        <f ca="1">SUM(I183:I187)</f>
        <v>53412.39</v>
      </c>
      <c r="J182" s="310">
        <f ca="1">SUM(J183:J187)</f>
        <v>65414.154032999999</v>
      </c>
      <c r="K182" s="206"/>
      <c r="N182" s="268"/>
    </row>
    <row r="183" spans="1:14" x14ac:dyDescent="0.25">
      <c r="A183" s="184" t="s">
        <v>78</v>
      </c>
      <c r="B183" s="78" t="s">
        <v>792</v>
      </c>
      <c r="C183" s="184" t="s">
        <v>176</v>
      </c>
      <c r="D183" s="78" t="s">
        <v>687</v>
      </c>
      <c r="E183" s="184" t="s">
        <v>468</v>
      </c>
      <c r="F183" s="185">
        <v>1</v>
      </c>
      <c r="G183" s="189">
        <f>CPU!$H$240</f>
        <v>408.49</v>
      </c>
      <c r="H183" s="189">
        <f t="shared" ref="H183:H187" si="102">G183*(1+$J$2)</f>
        <v>500.27770299999997</v>
      </c>
      <c r="I183" s="189">
        <f t="shared" ref="I183:I187" si="103">G183*F183</f>
        <v>408.49</v>
      </c>
      <c r="J183" s="189">
        <f t="shared" ref="J183:J184" si="104">H183*F183</f>
        <v>500.27770299999997</v>
      </c>
      <c r="L183" s="191"/>
    </row>
    <row r="184" spans="1:14" ht="45" x14ac:dyDescent="0.25">
      <c r="A184" s="184" t="s">
        <v>79</v>
      </c>
      <c r="B184" s="188" t="str">
        <f>'COT.'!$A$73</f>
        <v>COT-12</v>
      </c>
      <c r="C184" s="184" t="s">
        <v>176</v>
      </c>
      <c r="D184" s="78" t="s">
        <v>474</v>
      </c>
      <c r="E184" s="184" t="s">
        <v>421</v>
      </c>
      <c r="F184" s="185">
        <v>1</v>
      </c>
      <c r="G184" s="189">
        <f ca="1">'COT.'!$E$73</f>
        <v>25138.95</v>
      </c>
      <c r="H184" s="189">
        <f t="shared" ca="1" si="102"/>
        <v>30787.672064999999</v>
      </c>
      <c r="I184" s="189">
        <f t="shared" ca="1" si="103"/>
        <v>25138.95</v>
      </c>
      <c r="J184" s="189">
        <f t="shared" ca="1" si="104"/>
        <v>30787.672064999999</v>
      </c>
      <c r="L184" s="191"/>
    </row>
    <row r="185" spans="1:14" ht="58.5" customHeight="1" x14ac:dyDescent="0.25">
      <c r="A185" s="184" t="s">
        <v>80</v>
      </c>
      <c r="B185" s="188" t="str">
        <f>'COT.'!$A$78</f>
        <v>COT-13</v>
      </c>
      <c r="C185" s="184" t="s">
        <v>176</v>
      </c>
      <c r="D185" s="78" t="s">
        <v>795</v>
      </c>
      <c r="E185" s="184" t="s">
        <v>421</v>
      </c>
      <c r="F185" s="185">
        <v>1</v>
      </c>
      <c r="G185" s="189">
        <f ca="1">'COT.'!$E$78</f>
        <v>9239.44</v>
      </c>
      <c r="H185" s="189">
        <f t="shared" ca="1" si="102"/>
        <v>11315.542168</v>
      </c>
      <c r="I185" s="189">
        <f t="shared" ca="1" si="103"/>
        <v>9239.44</v>
      </c>
      <c r="J185" s="189">
        <f t="shared" ref="J185" ca="1" si="105">H185*F185</f>
        <v>11315.542168</v>
      </c>
    </row>
    <row r="186" spans="1:14" ht="60" x14ac:dyDescent="0.25">
      <c r="A186" s="184" t="s">
        <v>81</v>
      </c>
      <c r="B186" s="188" t="str">
        <f>'COT.'!$A$83</f>
        <v>COT-14</v>
      </c>
      <c r="C186" s="184" t="s">
        <v>176</v>
      </c>
      <c r="D186" s="78" t="s">
        <v>781</v>
      </c>
      <c r="E186" s="184" t="s">
        <v>468</v>
      </c>
      <c r="F186" s="185">
        <v>1</v>
      </c>
      <c r="G186" s="189">
        <f ca="1">'COT.'!$E$83</f>
        <v>9908.23</v>
      </c>
      <c r="H186" s="189">
        <f t="shared" ca="1" si="102"/>
        <v>12134.609280999999</v>
      </c>
      <c r="I186" s="189">
        <f t="shared" ca="1" si="103"/>
        <v>9908.23</v>
      </c>
      <c r="J186" s="189">
        <f t="shared" ref="J186:J187" ca="1" si="106">H186*F186</f>
        <v>12134.609280999999</v>
      </c>
    </row>
    <row r="187" spans="1:14" ht="60" x14ac:dyDescent="0.25">
      <c r="A187" s="184" t="s">
        <v>99</v>
      </c>
      <c r="B187" s="188" t="str">
        <f>'COT.'!$A$88</f>
        <v>COT-15</v>
      </c>
      <c r="C187" s="184" t="s">
        <v>176</v>
      </c>
      <c r="D187" s="78" t="s">
        <v>624</v>
      </c>
      <c r="E187" s="184" t="s">
        <v>468</v>
      </c>
      <c r="F187" s="185">
        <v>1</v>
      </c>
      <c r="G187" s="189">
        <f ca="1">'COT.'!$E$88</f>
        <v>8717.2800000000007</v>
      </c>
      <c r="H187" s="189">
        <f t="shared" ca="1" si="102"/>
        <v>10676.052815999999</v>
      </c>
      <c r="I187" s="189">
        <f t="shared" ca="1" si="103"/>
        <v>8717.2800000000007</v>
      </c>
      <c r="J187" s="189">
        <f t="shared" ca="1" si="106"/>
        <v>10676.052815999999</v>
      </c>
    </row>
    <row r="188" spans="1:14" collapsed="1" x14ac:dyDescent="0.25">
      <c r="A188" s="307"/>
      <c r="B188" s="308"/>
      <c r="C188" s="308"/>
      <c r="D188" s="308"/>
      <c r="E188" s="308"/>
      <c r="F188" s="308"/>
      <c r="G188" s="308"/>
      <c r="H188" s="308"/>
      <c r="I188" s="308"/>
      <c r="J188" s="220"/>
    </row>
    <row r="189" spans="1:14" s="267" customFormat="1" x14ac:dyDescent="0.25">
      <c r="A189" s="3">
        <v>13</v>
      </c>
      <c r="B189" s="4"/>
      <c r="C189" s="4"/>
      <c r="D189" s="4" t="s">
        <v>26</v>
      </c>
      <c r="E189" s="4"/>
      <c r="F189" s="4"/>
      <c r="G189" s="309"/>
      <c r="H189" s="309"/>
      <c r="I189" s="310">
        <f>SUM(I190:I194)</f>
        <v>16381.886469000001</v>
      </c>
      <c r="J189" s="310">
        <f>SUM(J190:J194)</f>
        <v>20062.896358584298</v>
      </c>
      <c r="K189" s="206"/>
      <c r="N189" s="268"/>
    </row>
    <row r="190" spans="1:14" ht="30" x14ac:dyDescent="0.25">
      <c r="A190" s="184" t="s">
        <v>100</v>
      </c>
      <c r="B190" s="184" t="s">
        <v>27</v>
      </c>
      <c r="C190" s="184" t="s">
        <v>8</v>
      </c>
      <c r="D190" s="78" t="s">
        <v>30</v>
      </c>
      <c r="E190" s="184" t="s">
        <v>114</v>
      </c>
      <c r="F190" s="185">
        <f>MC!$J$202</f>
        <v>129.53829999999999</v>
      </c>
      <c r="G190" s="189">
        <v>30.66</v>
      </c>
      <c r="H190" s="189">
        <f t="shared" ref="H190:H194" si="107">G190*(1+$J$2)</f>
        <v>37.549301999999997</v>
      </c>
      <c r="I190" s="189">
        <f>G190*F190</f>
        <v>3971.6442779999998</v>
      </c>
      <c r="J190" s="189">
        <f t="shared" ref="J190" si="108">H190*F190</f>
        <v>4864.0727472665994</v>
      </c>
    </row>
    <row r="191" spans="1:14" ht="30" x14ac:dyDescent="0.25">
      <c r="A191" s="184" t="s">
        <v>101</v>
      </c>
      <c r="B191" s="184" t="s">
        <v>28</v>
      </c>
      <c r="C191" s="184" t="s">
        <v>8</v>
      </c>
      <c r="D191" s="78" t="s">
        <v>29</v>
      </c>
      <c r="E191" s="184" t="s">
        <v>114</v>
      </c>
      <c r="F191" s="185">
        <f>MC!$J$209</f>
        <v>218.27</v>
      </c>
      <c r="G191" s="213">
        <v>18.45</v>
      </c>
      <c r="H191" s="189">
        <f t="shared" si="107"/>
        <v>22.595714999999998</v>
      </c>
      <c r="I191" s="189">
        <f t="shared" ref="I191:I194" si="109">G191*F191</f>
        <v>4027.0815000000002</v>
      </c>
      <c r="J191" s="189">
        <f t="shared" ref="J191:J194" si="110">H191*F191</f>
        <v>4931.9667130500002</v>
      </c>
    </row>
    <row r="192" spans="1:14" ht="30" x14ac:dyDescent="0.25">
      <c r="A192" s="184" t="s">
        <v>102</v>
      </c>
      <c r="B192" s="184" t="s">
        <v>31</v>
      </c>
      <c r="C192" s="184" t="s">
        <v>8</v>
      </c>
      <c r="D192" s="78" t="s">
        <v>32</v>
      </c>
      <c r="E192" s="184" t="s">
        <v>114</v>
      </c>
      <c r="F192" s="185">
        <f>MC!$J$215</f>
        <v>129.53829999999999</v>
      </c>
      <c r="G192" s="189">
        <v>16.77</v>
      </c>
      <c r="H192" s="189">
        <f t="shared" si="107"/>
        <v>20.538218999999998</v>
      </c>
      <c r="I192" s="189">
        <f t="shared" si="109"/>
        <v>2172.3572909999998</v>
      </c>
      <c r="J192" s="189">
        <f t="shared" si="110"/>
        <v>2660.4859742876997</v>
      </c>
    </row>
    <row r="193" spans="1:14" ht="30" x14ac:dyDescent="0.25">
      <c r="A193" s="184" t="s">
        <v>103</v>
      </c>
      <c r="B193" s="184" t="s">
        <v>634</v>
      </c>
      <c r="C193" s="184" t="s">
        <v>8</v>
      </c>
      <c r="D193" s="78" t="s">
        <v>33</v>
      </c>
      <c r="E193" s="184" t="s">
        <v>114</v>
      </c>
      <c r="F193" s="185">
        <f>MC!$J$222</f>
        <v>372.48</v>
      </c>
      <c r="G193" s="189">
        <v>15.14</v>
      </c>
      <c r="H193" s="189">
        <f t="shared" ref="H193" si="111">G193*(1+$J$2)</f>
        <v>18.541957999999997</v>
      </c>
      <c r="I193" s="189">
        <f t="shared" si="109"/>
        <v>5639.3472000000002</v>
      </c>
      <c r="J193" s="189">
        <f t="shared" ref="J193" si="112">H193*F193</f>
        <v>6906.5085158399997</v>
      </c>
    </row>
    <row r="194" spans="1:14" ht="30" x14ac:dyDescent="0.25">
      <c r="A194" s="184" t="s">
        <v>545</v>
      </c>
      <c r="B194" s="184" t="s">
        <v>349</v>
      </c>
      <c r="C194" s="184" t="s">
        <v>8</v>
      </c>
      <c r="D194" s="78" t="s">
        <v>350</v>
      </c>
      <c r="E194" s="184" t="s">
        <v>156</v>
      </c>
      <c r="F194" s="185">
        <f>MC!$J$228</f>
        <v>25.130000000000003</v>
      </c>
      <c r="G194" s="186">
        <v>22.74</v>
      </c>
      <c r="H194" s="186">
        <f t="shared" si="107"/>
        <v>27.849677999999997</v>
      </c>
      <c r="I194" s="189">
        <f t="shared" si="109"/>
        <v>571.45619999999997</v>
      </c>
      <c r="J194" s="186">
        <f t="shared" si="110"/>
        <v>699.86240813999996</v>
      </c>
    </row>
    <row r="195" spans="1:14" x14ac:dyDescent="0.25">
      <c r="A195" s="307"/>
      <c r="B195" s="308"/>
      <c r="C195" s="308"/>
      <c r="D195" s="308"/>
      <c r="E195" s="308"/>
      <c r="F195" s="308"/>
      <c r="G195" s="308"/>
      <c r="H195" s="308"/>
      <c r="I195" s="308"/>
      <c r="J195" s="220"/>
    </row>
    <row r="196" spans="1:14" s="267" customFormat="1" x14ac:dyDescent="0.25">
      <c r="A196" s="3">
        <v>14</v>
      </c>
      <c r="B196" s="4"/>
      <c r="C196" s="4"/>
      <c r="D196" s="4" t="s">
        <v>189</v>
      </c>
      <c r="E196" s="4"/>
      <c r="F196" s="4"/>
      <c r="G196" s="309"/>
      <c r="H196" s="309"/>
      <c r="I196" s="310">
        <f ca="1">SUM(I197:I197)</f>
        <v>3187.8</v>
      </c>
      <c r="J196" s="310">
        <f ca="1">SUM(J197:J197)</f>
        <v>3904.0986599999997</v>
      </c>
      <c r="K196" s="206"/>
      <c r="N196" s="268"/>
    </row>
    <row r="197" spans="1:14" x14ac:dyDescent="0.25">
      <c r="A197" s="184" t="s">
        <v>546</v>
      </c>
      <c r="B197" s="205" t="str">
        <f>'COT.'!$A$93</f>
        <v>COT-16</v>
      </c>
      <c r="C197" s="190" t="s">
        <v>176</v>
      </c>
      <c r="D197" s="78" t="s">
        <v>799</v>
      </c>
      <c r="E197" s="184" t="s">
        <v>164</v>
      </c>
      <c r="F197" s="185">
        <v>11</v>
      </c>
      <c r="G197" s="186">
        <f ca="1">'COT.'!$E$93</f>
        <v>289.8</v>
      </c>
      <c r="H197" s="186">
        <f t="shared" ref="H197" ca="1" si="113">G197*(1+$J$2)</f>
        <v>354.91805999999997</v>
      </c>
      <c r="I197" s="189">
        <f ca="1">G197*F197</f>
        <v>3187.8</v>
      </c>
      <c r="J197" s="186">
        <f t="shared" ref="J197" ca="1" si="114">H197*F197</f>
        <v>3904.0986599999997</v>
      </c>
    </row>
    <row r="198" spans="1:14" x14ac:dyDescent="0.25">
      <c r="A198" s="307"/>
      <c r="B198" s="308"/>
      <c r="C198" s="308"/>
      <c r="D198" s="308"/>
      <c r="E198" s="308"/>
      <c r="F198" s="308"/>
      <c r="G198" s="308"/>
      <c r="H198" s="308"/>
      <c r="I198" s="308"/>
      <c r="J198" s="220"/>
    </row>
    <row r="199" spans="1:14" s="267" customFormat="1" x14ac:dyDescent="0.25">
      <c r="A199" s="3">
        <v>15</v>
      </c>
      <c r="B199" s="4"/>
      <c r="C199" s="4"/>
      <c r="D199" s="4" t="s">
        <v>554</v>
      </c>
      <c r="E199" s="4"/>
      <c r="F199" s="4"/>
      <c r="G199" s="309"/>
      <c r="H199" s="310"/>
      <c r="I199" s="310">
        <f>SUM(I200:I201)</f>
        <v>4426.2400000000007</v>
      </c>
      <c r="J199" s="310">
        <f>SUM(J200:J201)</f>
        <v>5420.8161279999995</v>
      </c>
      <c r="K199" s="206"/>
      <c r="N199" s="268"/>
    </row>
    <row r="200" spans="1:14" x14ac:dyDescent="0.25">
      <c r="A200" s="184" t="s">
        <v>244</v>
      </c>
      <c r="B200" s="184" t="s">
        <v>669</v>
      </c>
      <c r="C200" s="184" t="s">
        <v>176</v>
      </c>
      <c r="D200" s="78" t="s">
        <v>552</v>
      </c>
      <c r="E200" s="185" t="s">
        <v>164</v>
      </c>
      <c r="F200" s="185">
        <f>MC!$J$236</f>
        <v>76</v>
      </c>
      <c r="G200" s="189">
        <f>CPU!H245</f>
        <v>39.520000000000003</v>
      </c>
      <c r="H200" s="189">
        <f t="shared" ref="H200:H201" si="115">G200*(1+$J$2)</f>
        <v>48.400143999999997</v>
      </c>
      <c r="I200" s="189">
        <f t="shared" ref="I200:I201" si="116">G200*F200</f>
        <v>3003.5200000000004</v>
      </c>
      <c r="J200" s="189">
        <f t="shared" ref="J200:J201" si="117">H200*F200</f>
        <v>3678.4109439999997</v>
      </c>
    </row>
    <row r="201" spans="1:14" x14ac:dyDescent="0.25">
      <c r="A201" s="184" t="s">
        <v>245</v>
      </c>
      <c r="B201" s="184" t="s">
        <v>793</v>
      </c>
      <c r="C201" s="184" t="s">
        <v>176</v>
      </c>
      <c r="D201" s="78" t="s">
        <v>553</v>
      </c>
      <c r="E201" s="184" t="s">
        <v>164</v>
      </c>
      <c r="F201" s="185">
        <f>MC!$J$239</f>
        <v>36</v>
      </c>
      <c r="G201" s="186">
        <f>CPU!H248</f>
        <v>39.520000000000003</v>
      </c>
      <c r="H201" s="186">
        <f t="shared" si="115"/>
        <v>48.400143999999997</v>
      </c>
      <c r="I201" s="189">
        <f t="shared" si="116"/>
        <v>1422.72</v>
      </c>
      <c r="J201" s="186">
        <f t="shared" si="117"/>
        <v>1742.405184</v>
      </c>
    </row>
    <row r="202" spans="1:14" x14ac:dyDescent="0.25">
      <c r="A202" s="307"/>
      <c r="B202" s="308"/>
      <c r="C202" s="308"/>
      <c r="D202" s="308"/>
      <c r="E202" s="308"/>
      <c r="F202" s="308"/>
      <c r="G202" s="308"/>
      <c r="H202" s="308"/>
      <c r="I202" s="308"/>
      <c r="J202" s="220"/>
    </row>
    <row r="203" spans="1:14" s="267" customFormat="1" x14ac:dyDescent="0.25">
      <c r="A203" s="3">
        <v>16</v>
      </c>
      <c r="B203" s="4"/>
      <c r="C203" s="4"/>
      <c r="D203" s="4" t="s">
        <v>751</v>
      </c>
      <c r="E203" s="4"/>
      <c r="F203" s="4"/>
      <c r="G203" s="309"/>
      <c r="H203" s="310"/>
      <c r="I203" s="310">
        <f>SUM(I204:I205)</f>
        <v>2204.5005499999997</v>
      </c>
      <c r="J203" s="310">
        <f>SUM(J204:J205)</f>
        <v>2699.8518235849997</v>
      </c>
      <c r="K203" s="206"/>
      <c r="N203" s="268"/>
    </row>
    <row r="204" spans="1:14" s="273" customFormat="1" ht="45" x14ac:dyDescent="0.25">
      <c r="A204" s="184" t="s">
        <v>246</v>
      </c>
      <c r="B204" s="184" t="s">
        <v>753</v>
      </c>
      <c r="C204" s="184" t="s">
        <v>8</v>
      </c>
      <c r="D204" s="78" t="s">
        <v>752</v>
      </c>
      <c r="E204" s="184" t="s">
        <v>114</v>
      </c>
      <c r="F204" s="185">
        <f>MC!J244</f>
        <v>42.664999999999999</v>
      </c>
      <c r="G204" s="189">
        <v>12.71</v>
      </c>
      <c r="H204" s="189">
        <f t="shared" ref="H204:H205" si="118">G204*(1+$J$2)</f>
        <v>15.565937</v>
      </c>
      <c r="I204" s="189">
        <f t="shared" ref="I204:I205" si="119">G204*F204</f>
        <v>542.27215000000001</v>
      </c>
      <c r="J204" s="189">
        <f t="shared" ref="J204:J205" si="120">H204*F204</f>
        <v>664.12070210499996</v>
      </c>
      <c r="K204" s="272"/>
    </row>
    <row r="205" spans="1:14" x14ac:dyDescent="0.25">
      <c r="A205" s="184" t="s">
        <v>247</v>
      </c>
      <c r="B205" s="184" t="s">
        <v>755</v>
      </c>
      <c r="C205" s="184" t="s">
        <v>8</v>
      </c>
      <c r="D205" s="78" t="s">
        <v>754</v>
      </c>
      <c r="E205" s="184" t="s">
        <v>114</v>
      </c>
      <c r="F205" s="185">
        <f>MC!J248</f>
        <v>42.664999999999999</v>
      </c>
      <c r="G205" s="186">
        <v>38.96</v>
      </c>
      <c r="H205" s="186">
        <f t="shared" si="118"/>
        <v>47.714312</v>
      </c>
      <c r="I205" s="189">
        <f t="shared" si="119"/>
        <v>1662.2284</v>
      </c>
      <c r="J205" s="186">
        <f t="shared" si="120"/>
        <v>2035.73112148</v>
      </c>
    </row>
    <row r="206" spans="1:14" x14ac:dyDescent="0.25">
      <c r="A206" s="307"/>
      <c r="B206" s="308"/>
      <c r="C206" s="308"/>
      <c r="D206" s="308"/>
      <c r="E206" s="308"/>
      <c r="F206" s="308"/>
      <c r="G206" s="308"/>
      <c r="H206" s="308"/>
      <c r="I206" s="308"/>
      <c r="J206" s="220"/>
    </row>
    <row r="207" spans="1:14" s="267" customFormat="1" x14ac:dyDescent="0.25">
      <c r="A207" s="3">
        <v>17</v>
      </c>
      <c r="B207" s="4"/>
      <c r="C207" s="4"/>
      <c r="D207" s="4" t="s">
        <v>86</v>
      </c>
      <c r="E207" s="4"/>
      <c r="F207" s="4"/>
      <c r="G207" s="309"/>
      <c r="H207" s="310"/>
      <c r="I207" s="310">
        <f ca="1">SUM(I208:I211)</f>
        <v>9144.6727821899985</v>
      </c>
      <c r="J207" s="310">
        <f ca="1">SUM(J208:J211)</f>
        <v>11199.48075634809</v>
      </c>
      <c r="K207" s="206"/>
      <c r="N207" s="268"/>
    </row>
    <row r="208" spans="1:14" x14ac:dyDescent="0.25">
      <c r="A208" s="184" t="s">
        <v>756</v>
      </c>
      <c r="B208" s="78" t="s">
        <v>794</v>
      </c>
      <c r="C208" s="78" t="s">
        <v>176</v>
      </c>
      <c r="D208" s="78" t="s">
        <v>43</v>
      </c>
      <c r="E208" s="184" t="s">
        <v>114</v>
      </c>
      <c r="F208" s="185">
        <f>MC!$J$253</f>
        <v>200.49</v>
      </c>
      <c r="G208" s="204">
        <f ca="1">CPU!$H$251</f>
        <v>5.1683310000000002</v>
      </c>
      <c r="H208" s="186">
        <f t="shared" ref="H208:H211" ca="1" si="121">G208*(1+$J$2)</f>
        <v>6.3296549756999996</v>
      </c>
      <c r="I208" s="189">
        <f ca="1">G208*F208</f>
        <v>1036.19868219</v>
      </c>
      <c r="J208" s="186">
        <f t="shared" ref="J208:J211" ca="1" si="122">H208*F208</f>
        <v>1269.032526078093</v>
      </c>
    </row>
    <row r="209" spans="1:12" ht="30" x14ac:dyDescent="0.25">
      <c r="A209" s="184" t="s">
        <v>757</v>
      </c>
      <c r="B209" s="184" t="s">
        <v>37</v>
      </c>
      <c r="C209" s="78" t="s">
        <v>8</v>
      </c>
      <c r="D209" s="78" t="s">
        <v>38</v>
      </c>
      <c r="E209" s="184" t="s">
        <v>190</v>
      </c>
      <c r="F209" s="185">
        <f>5*15</f>
        <v>75</v>
      </c>
      <c r="G209" s="186">
        <v>39.159999999999997</v>
      </c>
      <c r="H209" s="186">
        <f t="shared" si="121"/>
        <v>47.959251999999992</v>
      </c>
      <c r="I209" s="189">
        <f t="shared" ref="I209:I211" si="123">G209*F209</f>
        <v>2936.9999999999995</v>
      </c>
      <c r="J209" s="186">
        <f t="shared" si="122"/>
        <v>3596.9438999999993</v>
      </c>
    </row>
    <row r="210" spans="1:12" x14ac:dyDescent="0.25">
      <c r="A210" s="184" t="s">
        <v>758</v>
      </c>
      <c r="B210" s="184" t="s">
        <v>39</v>
      </c>
      <c r="C210" s="78" t="s">
        <v>8</v>
      </c>
      <c r="D210" s="78" t="s">
        <v>105</v>
      </c>
      <c r="E210" s="184" t="s">
        <v>190</v>
      </c>
      <c r="F210" s="185">
        <f>5*15</f>
        <v>75</v>
      </c>
      <c r="G210" s="186">
        <v>50</v>
      </c>
      <c r="H210" s="186">
        <f t="shared" si="121"/>
        <v>61.234999999999992</v>
      </c>
      <c r="I210" s="189">
        <f t="shared" si="123"/>
        <v>3750</v>
      </c>
      <c r="J210" s="186">
        <f t="shared" si="122"/>
        <v>4592.6249999999991</v>
      </c>
    </row>
    <row r="211" spans="1:12" ht="15.75" thickBot="1" x14ac:dyDescent="0.3">
      <c r="A211" s="207" t="s">
        <v>759</v>
      </c>
      <c r="B211" s="207" t="s">
        <v>41</v>
      </c>
      <c r="C211" s="208" t="s">
        <v>8</v>
      </c>
      <c r="D211" s="208" t="s">
        <v>40</v>
      </c>
      <c r="E211" s="207" t="s">
        <v>114</v>
      </c>
      <c r="F211" s="209">
        <f>MC!$J$265</f>
        <v>200.49</v>
      </c>
      <c r="G211" s="210">
        <v>7.09</v>
      </c>
      <c r="H211" s="210">
        <f t="shared" si="121"/>
        <v>8.6831229999999984</v>
      </c>
      <c r="I211" s="189">
        <f t="shared" si="123"/>
        <v>1421.4741000000001</v>
      </c>
      <c r="J211" s="210">
        <f t="shared" si="122"/>
        <v>1740.8793302699999</v>
      </c>
      <c r="L211" s="191"/>
    </row>
    <row r="212" spans="1:12" ht="15.75" thickBot="1" x14ac:dyDescent="0.3">
      <c r="A212" s="256"/>
      <c r="B212" s="254"/>
      <c r="C212" s="254"/>
      <c r="D212" s="254"/>
      <c r="E212" s="254"/>
      <c r="F212" s="254"/>
      <c r="G212" s="254"/>
      <c r="H212" s="254"/>
      <c r="I212" s="254"/>
      <c r="J212" s="257"/>
      <c r="L212" s="191"/>
    </row>
    <row r="213" spans="1:12" ht="29.25" customHeight="1" thickBot="1" x14ac:dyDescent="0.3">
      <c r="A213" s="258"/>
      <c r="B213" s="259"/>
      <c r="C213" s="259"/>
      <c r="D213" s="259"/>
      <c r="E213" s="260"/>
      <c r="F213" s="436" t="s">
        <v>631</v>
      </c>
      <c r="G213" s="437"/>
      <c r="H213" s="438"/>
      <c r="I213" s="261">
        <f ca="1">SUM(I207,I199,I196,I189,I182,I165,I160,I124,I64,I55,I44,I39,I23,I13,I9,I102,I203)</f>
        <v>275261.33709288033</v>
      </c>
      <c r="J213" s="261"/>
      <c r="L213" s="191"/>
    </row>
    <row r="214" spans="1:12" ht="29.25" customHeight="1" thickBot="1" x14ac:dyDescent="0.3">
      <c r="A214" s="258"/>
      <c r="B214" s="259"/>
      <c r="C214" s="259"/>
      <c r="D214" s="259"/>
      <c r="E214" s="260"/>
      <c r="F214" s="436" t="s">
        <v>83</v>
      </c>
      <c r="G214" s="437"/>
      <c r="H214" s="438"/>
      <c r="I214" s="261"/>
      <c r="J214" s="261">
        <f ca="1">SUM(J207,J199,J196,J189,J182,J165,J160,J124,J64,J55,J44,J39,J23,J13,J9,J102,J203)</f>
        <v>336638.34366965055</v>
      </c>
      <c r="L214" s="191"/>
    </row>
    <row r="215" spans="1:12" ht="18" customHeight="1" thickBot="1" x14ac:dyDescent="0.3">
      <c r="A215" s="262"/>
      <c r="B215" s="263"/>
      <c r="C215" s="263"/>
      <c r="D215" s="263"/>
      <c r="E215" s="263"/>
      <c r="F215" s="263"/>
      <c r="G215" s="263"/>
      <c r="H215" s="263"/>
      <c r="I215" s="263"/>
      <c r="J215" s="264"/>
      <c r="L215" s="191"/>
    </row>
    <row r="218" spans="1:12" x14ac:dyDescent="0.25">
      <c r="H218" s="191"/>
      <c r="I218" s="191"/>
    </row>
    <row r="219" spans="1:12" x14ac:dyDescent="0.25">
      <c r="I219" s="191"/>
    </row>
  </sheetData>
  <mergeCells count="14">
    <mergeCell ref="F214:H214"/>
    <mergeCell ref="F213:H213"/>
    <mergeCell ref="A123:J123"/>
    <mergeCell ref="A101:J101"/>
    <mergeCell ref="A1:J1"/>
    <mergeCell ref="A5:J5"/>
    <mergeCell ref="A43:J43"/>
    <mergeCell ref="A54:J54"/>
    <mergeCell ref="A63:J63"/>
    <mergeCell ref="A12:J12"/>
    <mergeCell ref="A6:J6"/>
    <mergeCell ref="A22:J22"/>
    <mergeCell ref="A38:J38"/>
    <mergeCell ref="A8:J8"/>
  </mergeCells>
  <phoneticPr fontId="19" type="noConversion"/>
  <conditionalFormatting sqref="B4">
    <cfRule type="expression" dxfId="37" priority="1">
      <formula>B4=""</formula>
    </cfRule>
  </conditionalFormatting>
  <pageMargins left="0.511811024" right="0.511811024" top="0.78740157499999996" bottom="0.78740157499999996" header="0.31496062000000002" footer="0.31496062000000002"/>
  <pageSetup paperSize="9" scale="44" fitToHeight="0" orientation="portrait" r:id="rId1"/>
  <rowBreaks count="3" manualBreakCount="3">
    <brk id="54" max="8" man="1"/>
    <brk id="107" max="8" man="1"/>
    <brk id="185" max="8" man="1"/>
  </rowBreaks>
  <colBreaks count="1" manualBreakCount="1">
    <brk id="10" max="1048575" man="1"/>
  </col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BB93CC-30B4-4F79-A8CD-82CDE226B234}">
  <dimension ref="A1:O439"/>
  <sheetViews>
    <sheetView zoomScale="85" zoomScaleNormal="85" workbookViewId="0">
      <selection activeCell="L9" sqref="L9"/>
    </sheetView>
  </sheetViews>
  <sheetFormatPr defaultRowHeight="15" x14ac:dyDescent="0.25"/>
  <cols>
    <col min="1" max="1" width="17" style="30" customWidth="1"/>
    <col min="2" max="2" width="16.7109375" style="30" customWidth="1"/>
    <col min="3" max="3" width="12.140625" style="30" customWidth="1"/>
    <col min="4" max="4" width="11.5703125" style="30" customWidth="1"/>
    <col min="5" max="5" width="13.5703125" style="30" customWidth="1"/>
    <col min="6" max="6" width="12.42578125" style="30" customWidth="1"/>
    <col min="7" max="7" width="9.140625" style="30"/>
    <col min="8" max="8" width="40.85546875" style="30" customWidth="1"/>
    <col min="9" max="9" width="13" style="30" customWidth="1"/>
    <col min="10" max="10" width="15.28515625" style="116" customWidth="1"/>
    <col min="11" max="16384" width="9.140625" style="30"/>
  </cols>
  <sheetData>
    <row r="1" spans="1:14" customFormat="1" ht="77.25" customHeight="1" thickBot="1" x14ac:dyDescent="0.3">
      <c r="A1" s="468" t="s">
        <v>299</v>
      </c>
      <c r="B1" s="469"/>
      <c r="C1" s="469"/>
      <c r="D1" s="469"/>
      <c r="E1" s="469"/>
      <c r="F1" s="469"/>
      <c r="G1" s="469"/>
      <c r="H1" s="469"/>
      <c r="I1" s="469"/>
      <c r="J1" s="444"/>
      <c r="K1" s="33"/>
      <c r="L1" s="315"/>
      <c r="M1" s="33"/>
      <c r="N1" s="316"/>
    </row>
    <row r="2" spans="1:14" customFormat="1" ht="18" customHeight="1" x14ac:dyDescent="0.25">
      <c r="A2" s="141" t="s">
        <v>235</v>
      </c>
      <c r="B2" s="470" t="s">
        <v>118</v>
      </c>
      <c r="C2" s="470"/>
      <c r="D2" s="470"/>
      <c r="E2" s="470"/>
      <c r="F2" s="470"/>
      <c r="G2" s="470"/>
      <c r="H2" s="470"/>
      <c r="I2" s="471">
        <f>[4]BDI!$Z$21</f>
        <v>0.22470000000000001</v>
      </c>
      <c r="J2" s="472"/>
      <c r="K2" s="317"/>
      <c r="L2" s="315"/>
      <c r="M2" s="33"/>
      <c r="N2" s="316"/>
    </row>
    <row r="3" spans="1:14" customFormat="1" ht="17.25" customHeight="1" x14ac:dyDescent="0.25">
      <c r="A3" s="142" t="s">
        <v>236</v>
      </c>
      <c r="B3" s="473" t="s">
        <v>121</v>
      </c>
      <c r="C3" s="473"/>
      <c r="D3" s="473"/>
      <c r="E3" s="473"/>
      <c r="F3" s="473"/>
      <c r="G3" s="473"/>
      <c r="H3" s="473"/>
      <c r="I3" s="474" t="s">
        <v>796</v>
      </c>
      <c r="J3" s="475"/>
      <c r="K3" s="317"/>
      <c r="L3" s="315"/>
      <c r="M3" s="33"/>
      <c r="N3" s="316"/>
    </row>
    <row r="4" spans="1:14" customFormat="1" ht="18" customHeight="1" thickBot="1" x14ac:dyDescent="0.3">
      <c r="A4" s="143" t="s">
        <v>87</v>
      </c>
      <c r="B4" s="476" t="s">
        <v>635</v>
      </c>
      <c r="C4" s="476"/>
      <c r="D4" s="476"/>
      <c r="E4" s="476"/>
      <c r="F4" s="476"/>
      <c r="G4" s="476"/>
      <c r="H4" s="476"/>
      <c r="I4" s="477" t="s">
        <v>727</v>
      </c>
      <c r="J4" s="478"/>
      <c r="K4" s="317"/>
      <c r="L4" s="315"/>
      <c r="M4" s="33"/>
      <c r="N4" s="316"/>
    </row>
    <row r="5" spans="1:14" customFormat="1" ht="15.75" thickBot="1" x14ac:dyDescent="0.3">
      <c r="A5" s="479"/>
      <c r="B5" s="480"/>
      <c r="C5" s="480"/>
      <c r="D5" s="480"/>
      <c r="E5" s="480"/>
      <c r="F5" s="480"/>
      <c r="G5" s="480"/>
      <c r="H5" s="480"/>
      <c r="I5" s="480"/>
      <c r="J5" s="481"/>
    </row>
    <row r="6" spans="1:14" customFormat="1" ht="16.5" thickBot="1" x14ac:dyDescent="0.3">
      <c r="A6" s="107" t="s">
        <v>89</v>
      </c>
      <c r="B6" s="107"/>
      <c r="C6" s="482" t="s">
        <v>90</v>
      </c>
      <c r="D6" s="482"/>
      <c r="E6" s="482"/>
      <c r="F6" s="482"/>
      <c r="G6" s="482"/>
      <c r="H6" s="482"/>
      <c r="I6" s="107" t="s">
        <v>177</v>
      </c>
      <c r="J6" s="110" t="s">
        <v>271</v>
      </c>
    </row>
    <row r="7" spans="1:14" ht="6" customHeight="1" thickBot="1" x14ac:dyDescent="0.3">
      <c r="A7" s="461"/>
      <c r="B7" s="456"/>
      <c r="C7" s="456"/>
      <c r="D7" s="456"/>
      <c r="E7" s="456"/>
      <c r="F7" s="456"/>
      <c r="G7" s="456"/>
      <c r="H7" s="456"/>
      <c r="I7" s="456"/>
      <c r="J7" s="462"/>
    </row>
    <row r="8" spans="1:14" ht="15.75" thickBot="1" x14ac:dyDescent="0.3">
      <c r="A8" s="122">
        <v>1</v>
      </c>
      <c r="B8" s="123"/>
      <c r="C8" s="467" t="str">
        <f>Orçamento!$D$9</f>
        <v>ADMINISTRAÇÃO LOCAL DA OBRA</v>
      </c>
      <c r="D8" s="467"/>
      <c r="E8" s="467"/>
      <c r="F8" s="467"/>
      <c r="G8" s="467"/>
      <c r="H8" s="467"/>
      <c r="I8" s="123"/>
      <c r="J8" s="124"/>
    </row>
    <row r="9" spans="1:14" s="104" customFormat="1" x14ac:dyDescent="0.25">
      <c r="A9" s="103" t="s">
        <v>48</v>
      </c>
      <c r="B9" s="117"/>
      <c r="C9" s="459" t="str">
        <f>Orçamento!$D$10</f>
        <v>ENGENHEIRO CIVIL DE OBRA JUNIOR COM ENCARGOS COMPLEMENTARES</v>
      </c>
      <c r="D9" s="459"/>
      <c r="E9" s="459"/>
      <c r="F9" s="459"/>
      <c r="G9" s="459"/>
      <c r="H9" s="459"/>
      <c r="I9" s="104" t="s">
        <v>5</v>
      </c>
      <c r="J9" s="111">
        <f>J10</f>
        <v>0.625</v>
      </c>
    </row>
    <row r="10" spans="1:14" ht="30.75" customHeight="1" x14ac:dyDescent="0.25">
      <c r="A10" s="100"/>
      <c r="B10" s="33"/>
      <c r="C10" s="483" t="s">
        <v>771</v>
      </c>
      <c r="D10" s="483"/>
      <c r="E10" s="483"/>
      <c r="F10" s="483"/>
      <c r="G10" s="483"/>
      <c r="H10" s="483"/>
      <c r="I10" s="33" t="s">
        <v>5</v>
      </c>
      <c r="J10" s="275">
        <f>0.25*2.5</f>
        <v>0.625</v>
      </c>
    </row>
    <row r="11" spans="1:14" x14ac:dyDescent="0.25">
      <c r="A11" s="101"/>
      <c r="C11" s="456"/>
      <c r="D11" s="456"/>
      <c r="E11" s="456"/>
      <c r="F11" s="456"/>
      <c r="G11" s="456"/>
      <c r="H11" s="456"/>
      <c r="J11" s="113"/>
    </row>
    <row r="12" spans="1:14" x14ac:dyDescent="0.25">
      <c r="A12" s="103" t="s">
        <v>49</v>
      </c>
      <c r="B12" s="117"/>
      <c r="C12" s="459" t="str">
        <f>Orçamento!$D$11</f>
        <v>ENCARREGADO GERAL DE OBRAS COM ENCARGOS COMPLEMENTARES</v>
      </c>
      <c r="D12" s="459"/>
      <c r="E12" s="459"/>
      <c r="F12" s="459"/>
      <c r="G12" s="459"/>
      <c r="H12" s="459"/>
      <c r="I12" s="104" t="s">
        <v>5</v>
      </c>
      <c r="J12" s="111">
        <f>SUM(J13:J13)</f>
        <v>2.5</v>
      </c>
    </row>
    <row r="13" spans="1:14" x14ac:dyDescent="0.25">
      <c r="A13" s="100"/>
      <c r="B13" s="33"/>
      <c r="C13" s="456" t="s">
        <v>770</v>
      </c>
      <c r="D13" s="456"/>
      <c r="E13" s="456"/>
      <c r="F13" s="456"/>
      <c r="G13" s="456"/>
      <c r="H13" s="456"/>
      <c r="I13" s="30" t="s">
        <v>5</v>
      </c>
      <c r="J13" s="113">
        <v>2.5</v>
      </c>
    </row>
    <row r="14" spans="1:14" ht="15.75" thickBot="1" x14ac:dyDescent="0.3">
      <c r="A14" s="101"/>
      <c r="C14" s="456"/>
      <c r="D14" s="456"/>
      <c r="E14" s="456"/>
      <c r="F14" s="456"/>
      <c r="G14" s="456"/>
      <c r="H14" s="456"/>
      <c r="J14" s="113"/>
    </row>
    <row r="15" spans="1:14" ht="15.75" thickBot="1" x14ac:dyDescent="0.3">
      <c r="A15" s="122">
        <v>3</v>
      </c>
      <c r="B15" s="123"/>
      <c r="C15" s="467" t="str">
        <f>Orçamento!$D$23</f>
        <v>DEMOLIÇÕES E REMOÇÕES</v>
      </c>
      <c r="D15" s="467"/>
      <c r="E15" s="467"/>
      <c r="F15" s="467"/>
      <c r="G15" s="467"/>
      <c r="H15" s="467"/>
      <c r="I15" s="123"/>
      <c r="J15" s="124"/>
    </row>
    <row r="16" spans="1:14" s="104" customFormat="1" ht="43.5" customHeight="1" x14ac:dyDescent="0.25">
      <c r="A16" s="105" t="str">
        <f>Orçamento!A24</f>
        <v>3.1</v>
      </c>
      <c r="C16" s="460" t="str">
        <f>Orçamento!$D$24</f>
        <v>REMOÇÃO MANUAL DE LUMINÁRIA COMERCIAL, EMBUTIDA OU SOBREPOR, COM REAPROVEITAMENTO, INCLUSIVE AFASTAMENTO E EMPILHAMENTO, EXCLUSIVE TRANSPORTE E RETIRADA DO MATERIAL REMOVIDO NÃO REAPROVEITÁVEL</v>
      </c>
      <c r="D16" s="460"/>
      <c r="E16" s="460"/>
      <c r="F16" s="460"/>
      <c r="G16" s="460"/>
      <c r="H16" s="460"/>
      <c r="I16" s="104" t="s">
        <v>300</v>
      </c>
      <c r="J16" s="111">
        <f>SUM(J17:J22)</f>
        <v>45</v>
      </c>
    </row>
    <row r="17" spans="1:10" x14ac:dyDescent="0.25">
      <c r="A17" s="101"/>
      <c r="C17" s="456" t="s">
        <v>308</v>
      </c>
      <c r="D17" s="456"/>
      <c r="E17" s="456"/>
      <c r="F17" s="456"/>
      <c r="G17" s="456"/>
      <c r="H17" s="456"/>
      <c r="I17" s="30" t="s">
        <v>300</v>
      </c>
      <c r="J17" s="113">
        <v>6</v>
      </c>
    </row>
    <row r="18" spans="1:10" x14ac:dyDescent="0.25">
      <c r="A18" s="101"/>
      <c r="C18" s="456" t="s">
        <v>309</v>
      </c>
      <c r="D18" s="456"/>
      <c r="E18" s="456"/>
      <c r="F18" s="456"/>
      <c r="G18" s="456"/>
      <c r="H18" s="456"/>
      <c r="I18" s="30" t="s">
        <v>300</v>
      </c>
      <c r="J18" s="113">
        <v>5</v>
      </c>
    </row>
    <row r="19" spans="1:10" x14ac:dyDescent="0.25">
      <c r="A19" s="101"/>
      <c r="C19" s="456" t="s">
        <v>310</v>
      </c>
      <c r="D19" s="456"/>
      <c r="E19" s="456"/>
      <c r="F19" s="456"/>
      <c r="G19" s="456"/>
      <c r="H19" s="456"/>
      <c r="I19" s="30" t="s">
        <v>300</v>
      </c>
      <c r="J19" s="113">
        <v>6</v>
      </c>
    </row>
    <row r="20" spans="1:10" x14ac:dyDescent="0.25">
      <c r="A20" s="101"/>
      <c r="C20" s="456" t="s">
        <v>311</v>
      </c>
      <c r="D20" s="456"/>
      <c r="E20" s="456"/>
      <c r="F20" s="456"/>
      <c r="G20" s="456"/>
      <c r="H20" s="456"/>
      <c r="I20" s="30" t="s">
        <v>300</v>
      </c>
      <c r="J20" s="113">
        <v>6</v>
      </c>
    </row>
    <row r="21" spans="1:10" x14ac:dyDescent="0.25">
      <c r="A21" s="101"/>
      <c r="C21" s="456" t="s">
        <v>314</v>
      </c>
      <c r="D21" s="456"/>
      <c r="E21" s="456"/>
      <c r="F21" s="456"/>
      <c r="G21" s="456"/>
      <c r="H21" s="456"/>
      <c r="I21" s="30" t="s">
        <v>300</v>
      </c>
      <c r="J21" s="113">
        <v>8</v>
      </c>
    </row>
    <row r="22" spans="1:10" x14ac:dyDescent="0.25">
      <c r="A22" s="101"/>
      <c r="C22" s="456" t="s">
        <v>636</v>
      </c>
      <c r="D22" s="456"/>
      <c r="E22" s="456"/>
      <c r="F22" s="456"/>
      <c r="G22" s="456"/>
      <c r="H22" s="456"/>
      <c r="I22" s="30" t="s">
        <v>300</v>
      </c>
      <c r="J22" s="113">
        <v>14</v>
      </c>
    </row>
    <row r="23" spans="1:10" x14ac:dyDescent="0.25">
      <c r="A23" s="101"/>
      <c r="C23" s="456"/>
      <c r="D23" s="456"/>
      <c r="E23" s="456"/>
      <c r="F23" s="456"/>
      <c r="G23" s="456"/>
      <c r="H23" s="456"/>
      <c r="J23" s="113"/>
    </row>
    <row r="24" spans="1:10" s="104" customFormat="1" x14ac:dyDescent="0.25">
      <c r="A24" s="105" t="str">
        <f>Orçamento!$A$25</f>
        <v>3.2</v>
      </c>
      <c r="C24" s="460" t="str">
        <f>Orçamento!$D$25</f>
        <v>DEMOLIÇÃO MANUAL DE FORRO DE CHAPA OU PLACA DE GESSO, INCLUSIVE DEMOLIÇÃO DA ESTRUTURA DE SUSTENTAÇÃO, AFASTAMENTO E EMPILHAMENTO, EXCLUSIVE TRANSPORTE E RETIRADA DO MATERIAL DEMOLIDO</v>
      </c>
      <c r="D24" s="460"/>
      <c r="E24" s="460"/>
      <c r="F24" s="460"/>
      <c r="G24" s="460"/>
      <c r="H24" s="460"/>
      <c r="I24" s="104" t="s">
        <v>7</v>
      </c>
      <c r="J24" s="111">
        <f>SUM(J25:J28)</f>
        <v>111.02000000000001</v>
      </c>
    </row>
    <row r="25" spans="1:10" x14ac:dyDescent="0.25">
      <c r="A25" s="101"/>
      <c r="C25" s="456" t="s">
        <v>308</v>
      </c>
      <c r="D25" s="456"/>
      <c r="E25" s="456"/>
      <c r="F25" s="456"/>
      <c r="G25" s="456"/>
      <c r="H25" s="456"/>
      <c r="I25" s="30" t="s">
        <v>7</v>
      </c>
      <c r="J25" s="113">
        <v>35.36</v>
      </c>
    </row>
    <row r="26" spans="1:10" x14ac:dyDescent="0.25">
      <c r="A26" s="101"/>
      <c r="C26" s="456" t="s">
        <v>309</v>
      </c>
      <c r="D26" s="456"/>
      <c r="E26" s="456"/>
      <c r="F26" s="456"/>
      <c r="G26" s="456"/>
      <c r="H26" s="456"/>
      <c r="I26" s="30" t="s">
        <v>7</v>
      </c>
      <c r="J26" s="113">
        <v>26.81</v>
      </c>
    </row>
    <row r="27" spans="1:10" x14ac:dyDescent="0.25">
      <c r="A27" s="101"/>
      <c r="C27" s="456" t="s">
        <v>310</v>
      </c>
      <c r="D27" s="456"/>
      <c r="E27" s="456"/>
      <c r="F27" s="456"/>
      <c r="G27" s="456"/>
      <c r="H27" s="456"/>
      <c r="I27" s="30" t="s">
        <v>7</v>
      </c>
      <c r="J27" s="113">
        <v>25.56</v>
      </c>
    </row>
    <row r="28" spans="1:10" x14ac:dyDescent="0.25">
      <c r="A28" s="101"/>
      <c r="C28" s="456" t="s">
        <v>311</v>
      </c>
      <c r="D28" s="456"/>
      <c r="E28" s="456"/>
      <c r="F28" s="456"/>
      <c r="G28" s="456"/>
      <c r="H28" s="456"/>
      <c r="I28" s="30" t="s">
        <v>7</v>
      </c>
      <c r="J28" s="113">
        <v>23.29</v>
      </c>
    </row>
    <row r="29" spans="1:10" x14ac:dyDescent="0.25">
      <c r="A29" s="101"/>
      <c r="C29" s="456"/>
      <c r="D29" s="456"/>
      <c r="E29" s="456"/>
      <c r="F29" s="456"/>
      <c r="G29" s="456"/>
      <c r="H29" s="456"/>
      <c r="J29" s="113"/>
    </row>
    <row r="30" spans="1:10" s="104" customFormat="1" x14ac:dyDescent="0.25">
      <c r="A30" s="105" t="str">
        <f>Orçamento!A26</f>
        <v>3.3</v>
      </c>
      <c r="C30" s="460" t="str">
        <f>Orçamento!D26</f>
        <v>REMOÇÃO DE FORROS DE DRYWALL, PVC E FIBROMINERAL, DE FORMA MANUAL, SEM REAPROVEITAMENTO. AF_12/2017</v>
      </c>
      <c r="D30" s="460"/>
      <c r="E30" s="460"/>
      <c r="F30" s="460"/>
      <c r="G30" s="460"/>
      <c r="H30" s="460"/>
      <c r="I30" s="104" t="s">
        <v>7</v>
      </c>
      <c r="J30" s="111">
        <f>SUM(J31:J32)</f>
        <v>85.33</v>
      </c>
    </row>
    <row r="31" spans="1:10" x14ac:dyDescent="0.25">
      <c r="A31" s="101"/>
      <c r="C31" s="456" t="s">
        <v>314</v>
      </c>
      <c r="D31" s="456"/>
      <c r="E31" s="456"/>
      <c r="F31" s="456"/>
      <c r="G31" s="456"/>
      <c r="H31" s="456"/>
      <c r="I31" s="30" t="s">
        <v>7</v>
      </c>
      <c r="J31" s="113">
        <v>85.33</v>
      </c>
    </row>
    <row r="32" spans="1:10" x14ac:dyDescent="0.25">
      <c r="A32" s="101"/>
      <c r="C32" s="456"/>
      <c r="D32" s="456"/>
      <c r="E32" s="456"/>
      <c r="F32" s="456"/>
      <c r="G32" s="456"/>
      <c r="H32" s="456"/>
      <c r="J32" s="113"/>
    </row>
    <row r="33" spans="1:10" s="104" customFormat="1" x14ac:dyDescent="0.25">
      <c r="A33" s="105" t="str">
        <f>Orçamento!$A$27</f>
        <v>3.4</v>
      </c>
      <c r="C33" s="460" t="str">
        <f>Orçamento!$D$27</f>
        <v>DEMOLIÇÃO MANUAL DE DIVISÓRIA DE DRYWALL, INCLUSIVE AFASTAMENTO E EMPILHAMENTO, EXCLUSIVE TRANSPORTE E RETIRADA DO MATERIAL DEMOLIDO</v>
      </c>
      <c r="D33" s="460"/>
      <c r="E33" s="460"/>
      <c r="F33" s="460"/>
      <c r="G33" s="460"/>
      <c r="H33" s="460"/>
      <c r="I33" s="104" t="s">
        <v>7</v>
      </c>
      <c r="J33" s="111">
        <f>SUM(J34:J34)</f>
        <v>15.065000000000001</v>
      </c>
    </row>
    <row r="34" spans="1:10" x14ac:dyDescent="0.25">
      <c r="A34" s="101"/>
      <c r="C34" s="456" t="s">
        <v>313</v>
      </c>
      <c r="D34" s="456"/>
      <c r="E34" s="456"/>
      <c r="F34" s="456"/>
      <c r="G34" s="456"/>
      <c r="H34" s="456"/>
      <c r="I34" s="30" t="s">
        <v>7</v>
      </c>
      <c r="J34" s="113">
        <f>(1.34+0.7+0.94+3.57)*(2.16+0.14)</f>
        <v>15.065000000000001</v>
      </c>
    </row>
    <row r="35" spans="1:10" x14ac:dyDescent="0.25">
      <c r="A35" s="101"/>
      <c r="C35" s="456"/>
      <c r="D35" s="456"/>
      <c r="E35" s="456"/>
      <c r="F35" s="456"/>
      <c r="G35" s="456"/>
      <c r="H35" s="456"/>
      <c r="J35" s="113"/>
    </row>
    <row r="36" spans="1:10" x14ac:dyDescent="0.25">
      <c r="A36" s="101" t="str">
        <f>Orçamento!$A$28</f>
        <v>3.5</v>
      </c>
      <c r="C36" s="460" t="str">
        <f>Orçamento!$D$28</f>
        <v>DEMOLIÇÃO MANUAL DE ALVENARIA DE TIJOLO CERÂMICO MACIÇO, INCLUSIVE AFASTAMENTO E EMPILHAMENTO, EXCLUSIVE TRANSPORTE E RETIRADA DO MATERIAL DEMOLIDO</v>
      </c>
      <c r="D36" s="460"/>
      <c r="E36" s="460"/>
      <c r="F36" s="460"/>
      <c r="G36" s="460"/>
      <c r="H36" s="460"/>
      <c r="I36" s="104" t="s">
        <v>7</v>
      </c>
      <c r="J36" s="111">
        <f>SUM(J37:J37)</f>
        <v>14.458</v>
      </c>
    </row>
    <row r="37" spans="1:10" x14ac:dyDescent="0.25">
      <c r="A37" s="101"/>
      <c r="C37" s="456" t="s">
        <v>314</v>
      </c>
      <c r="D37" s="456"/>
      <c r="E37" s="456"/>
      <c r="F37" s="456"/>
      <c r="G37" s="456"/>
      <c r="H37" s="456"/>
      <c r="I37" s="30" t="s">
        <v>7</v>
      </c>
      <c r="J37" s="113">
        <f>(2.91*3.8)+(2*1.7)</f>
        <v>14.458</v>
      </c>
    </row>
    <row r="38" spans="1:10" x14ac:dyDescent="0.25">
      <c r="A38" s="101"/>
      <c r="C38" s="456"/>
      <c r="D38" s="456"/>
      <c r="E38" s="456"/>
      <c r="F38" s="456"/>
      <c r="G38" s="456"/>
      <c r="H38" s="456"/>
      <c r="J38" s="113"/>
    </row>
    <row r="39" spans="1:10" s="104" customFormat="1" x14ac:dyDescent="0.25">
      <c r="A39" s="105" t="str">
        <f>Orçamento!$A$29</f>
        <v>3.6</v>
      </c>
      <c r="C39" s="460" t="str">
        <f>Orçamento!$D$29</f>
        <v>REMOÇÃO MANUAL DE ESQUADRIA EM MADEIRA, COM REAPROVEITAMENTO, INCLUSIVE REMOÇÃO DE MARCO/ALIZAR/ GUARNIÇÕES, AFASTAMENTO E EMPILHAMENTO, EXCLUSIVE TRANSPORTE E RETIRADA DO MATERIAL REMOVIDO NÃO REAPROVEITÁVEL</v>
      </c>
      <c r="D39" s="460"/>
      <c r="E39" s="460"/>
      <c r="F39" s="460"/>
      <c r="G39" s="460"/>
      <c r="H39" s="460"/>
      <c r="I39" s="104" t="s">
        <v>7</v>
      </c>
      <c r="J39" s="111">
        <f>SUM(J40:J40)</f>
        <v>1.6800000000000002</v>
      </c>
    </row>
    <row r="40" spans="1:10" x14ac:dyDescent="0.25">
      <c r="A40" s="101"/>
      <c r="C40" s="456" t="s">
        <v>309</v>
      </c>
      <c r="D40" s="456"/>
      <c r="E40" s="456"/>
      <c r="F40" s="456"/>
      <c r="G40" s="456"/>
      <c r="H40" s="456"/>
      <c r="I40" s="30" t="s">
        <v>7</v>
      </c>
      <c r="J40" s="113">
        <f>0.8*2.1</f>
        <v>1.6800000000000002</v>
      </c>
    </row>
    <row r="41" spans="1:10" x14ac:dyDescent="0.25">
      <c r="A41" s="101"/>
      <c r="C41" s="456"/>
      <c r="D41" s="456"/>
      <c r="E41" s="456"/>
      <c r="F41" s="456"/>
      <c r="G41" s="456"/>
      <c r="H41" s="456"/>
      <c r="J41" s="113"/>
    </row>
    <row r="42" spans="1:10" s="104" customFormat="1" x14ac:dyDescent="0.25">
      <c r="A42" s="105" t="str">
        <f>Orçamento!$A$30</f>
        <v>3.7</v>
      </c>
      <c r="C42" s="460" t="str">
        <f>Orçamento!$D$30</f>
        <v>REMOÇÃO MANUAL DE ESQUADRIA METÁLICA, COM REAPROVEITAMENTO, INCLUSIVE MARCO/ALIZAR/GUARNIÇÕES, AFASTAMENTO E EMPILHAMENTO, EXCLUSIVE TRANSPORTE E RETIRADA DO MATERIAL REMOVIDO NÃO REAPROVEITÁVEL</v>
      </c>
      <c r="D42" s="460"/>
      <c r="E42" s="460"/>
      <c r="F42" s="460"/>
      <c r="G42" s="460"/>
      <c r="H42" s="460"/>
      <c r="I42" s="104" t="s">
        <v>7</v>
      </c>
      <c r="J42" s="111">
        <f>SUM(J43:J43)</f>
        <v>13.11</v>
      </c>
    </row>
    <row r="43" spans="1:10" x14ac:dyDescent="0.25">
      <c r="A43" s="101"/>
      <c r="C43" s="456" t="s">
        <v>310</v>
      </c>
      <c r="D43" s="456"/>
      <c r="E43" s="456"/>
      <c r="F43" s="456"/>
      <c r="G43" s="456"/>
      <c r="H43" s="456"/>
      <c r="I43" s="30" t="s">
        <v>7</v>
      </c>
      <c r="J43" s="113">
        <f>(2.24+2.26)*1.38+3*2.3</f>
        <v>13.11</v>
      </c>
    </row>
    <row r="44" spans="1:10" x14ac:dyDescent="0.25">
      <c r="A44" s="101"/>
      <c r="C44" s="456"/>
      <c r="D44" s="456"/>
      <c r="E44" s="456"/>
      <c r="F44" s="456"/>
      <c r="G44" s="456"/>
      <c r="H44" s="456"/>
      <c r="J44" s="113"/>
    </row>
    <row r="45" spans="1:10" s="104" customFormat="1" x14ac:dyDescent="0.25">
      <c r="A45" s="105" t="str">
        <f>Orçamento!$A$31</f>
        <v>3.8</v>
      </c>
      <c r="C45" s="460" t="str">
        <f>Orçamento!$D$31</f>
        <v xml:space="preserve">REMOÇÃO DE MOBILIÁRIOS: MESAS, CADEIRAS, SOFÁS, ARMÁRIOS, PRATELEIRAS, PERSIANAS, ETC. </v>
      </c>
      <c r="D45" s="460"/>
      <c r="E45" s="460"/>
      <c r="F45" s="460"/>
      <c r="G45" s="460"/>
      <c r="H45" s="460"/>
      <c r="I45" s="104" t="s">
        <v>300</v>
      </c>
      <c r="J45" s="111">
        <f>SUM(J46:J49)</f>
        <v>29</v>
      </c>
    </row>
    <row r="46" spans="1:10" x14ac:dyDescent="0.25">
      <c r="A46" s="101"/>
      <c r="C46" s="456" t="s">
        <v>308</v>
      </c>
      <c r="D46" s="456"/>
      <c r="E46" s="456"/>
      <c r="F46" s="456"/>
      <c r="G46" s="456"/>
      <c r="H46" s="456"/>
      <c r="I46" s="30" t="s">
        <v>300</v>
      </c>
      <c r="J46" s="113">
        <f>1+1+2</f>
        <v>4</v>
      </c>
    </row>
    <row r="47" spans="1:10" x14ac:dyDescent="0.25">
      <c r="A47" s="101"/>
      <c r="C47" s="456" t="s">
        <v>309</v>
      </c>
      <c r="D47" s="456"/>
      <c r="E47" s="456"/>
      <c r="F47" s="456"/>
      <c r="G47" s="456"/>
      <c r="H47" s="456"/>
      <c r="I47" s="30" t="s">
        <v>300</v>
      </c>
      <c r="J47" s="113">
        <f>6+7+5</f>
        <v>18</v>
      </c>
    </row>
    <row r="48" spans="1:10" x14ac:dyDescent="0.25">
      <c r="A48" s="101"/>
      <c r="C48" s="456" t="s">
        <v>310</v>
      </c>
      <c r="D48" s="456"/>
      <c r="E48" s="456"/>
      <c r="F48" s="456"/>
      <c r="G48" s="456"/>
      <c r="H48" s="456"/>
      <c r="I48" s="30" t="s">
        <v>300</v>
      </c>
      <c r="J48" s="113">
        <f>2+1</f>
        <v>3</v>
      </c>
    </row>
    <row r="49" spans="1:10" x14ac:dyDescent="0.25">
      <c r="A49" s="101"/>
      <c r="C49" s="456" t="s">
        <v>314</v>
      </c>
      <c r="D49" s="456"/>
      <c r="E49" s="456"/>
      <c r="F49" s="456"/>
      <c r="G49" s="456"/>
      <c r="H49" s="456"/>
      <c r="I49" s="30" t="s">
        <v>300</v>
      </c>
      <c r="J49" s="113">
        <v>4</v>
      </c>
    </row>
    <row r="50" spans="1:10" x14ac:dyDescent="0.25">
      <c r="A50" s="101"/>
      <c r="C50" s="456"/>
      <c r="D50" s="456"/>
      <c r="E50" s="456"/>
      <c r="F50" s="456"/>
      <c r="G50" s="456"/>
      <c r="H50" s="456"/>
      <c r="J50" s="113"/>
    </row>
    <row r="51" spans="1:10" x14ac:dyDescent="0.25">
      <c r="A51" s="105" t="str">
        <f>Orçamento!$A$32</f>
        <v>3.9</v>
      </c>
      <c r="B51" s="104"/>
      <c r="C51" s="459" t="str">
        <f>Orçamento!$D$32</f>
        <v xml:space="preserve">REMANEJAMENTO DE MOBILIÁRIOS PARA TROCA DE PISO </v>
      </c>
      <c r="D51" s="459"/>
      <c r="E51" s="459"/>
      <c r="F51" s="459"/>
      <c r="G51" s="459"/>
      <c r="H51" s="459"/>
      <c r="I51" s="104" t="s">
        <v>300</v>
      </c>
      <c r="J51" s="111">
        <f>SUM(J52:J53)</f>
        <v>36</v>
      </c>
    </row>
    <row r="52" spans="1:10" x14ac:dyDescent="0.25">
      <c r="A52" s="101"/>
      <c r="C52" s="456" t="s">
        <v>308</v>
      </c>
      <c r="D52" s="456"/>
      <c r="E52" s="456"/>
      <c r="F52" s="456"/>
      <c r="G52" s="456"/>
      <c r="H52" s="456"/>
      <c r="I52" s="30" t="s">
        <v>300</v>
      </c>
      <c r="J52" s="113">
        <v>17</v>
      </c>
    </row>
    <row r="53" spans="1:10" s="104" customFormat="1" x14ac:dyDescent="0.25">
      <c r="A53" s="105"/>
      <c r="C53" s="456" t="s">
        <v>314</v>
      </c>
      <c r="D53" s="456"/>
      <c r="E53" s="456"/>
      <c r="F53" s="456"/>
      <c r="G53" s="456"/>
      <c r="H53" s="456"/>
      <c r="I53" s="30" t="s">
        <v>300</v>
      </c>
      <c r="J53" s="113">
        <f>19</f>
        <v>19</v>
      </c>
    </row>
    <row r="54" spans="1:10" x14ac:dyDescent="0.25">
      <c r="A54" s="101"/>
      <c r="C54" s="456"/>
      <c r="D54" s="456"/>
      <c r="E54" s="456"/>
      <c r="F54" s="456"/>
      <c r="G54" s="456"/>
      <c r="H54" s="456"/>
      <c r="J54" s="113"/>
    </row>
    <row r="55" spans="1:10" s="104" customFormat="1" x14ac:dyDescent="0.25">
      <c r="A55" s="105" t="str">
        <f>Orçamento!A33</f>
        <v>3.10</v>
      </c>
      <c r="C55" s="460" t="str">
        <f>Orçamento!D33</f>
        <v>DEMOLIÇÃO MANUAL DE PISO CERÂMICO OU LADRILHO HIDRÁULICO, INCLUSIVE AFASTAMENTO E EMPILHAMENTO, EXCLUSIVE DEMOLIÇÃO DE CONTRAPISO, TRANSPORTE E RETIRADA DO MATERIAL DEMOLIDO</v>
      </c>
      <c r="D55" s="460"/>
      <c r="E55" s="460"/>
      <c r="F55" s="460"/>
      <c r="G55" s="460"/>
      <c r="H55" s="460"/>
      <c r="I55" s="104" t="s">
        <v>7</v>
      </c>
      <c r="J55" s="111">
        <f>J56</f>
        <v>85.33</v>
      </c>
    </row>
    <row r="56" spans="1:10" x14ac:dyDescent="0.25">
      <c r="A56" s="101"/>
      <c r="C56" s="456" t="s">
        <v>314</v>
      </c>
      <c r="D56" s="456"/>
      <c r="E56" s="456"/>
      <c r="F56" s="456"/>
      <c r="G56" s="456"/>
      <c r="H56" s="456"/>
      <c r="I56" s="30" t="s">
        <v>7</v>
      </c>
      <c r="J56" s="113">
        <v>85.33</v>
      </c>
    </row>
    <row r="57" spans="1:10" x14ac:dyDescent="0.25">
      <c r="A57" s="101"/>
      <c r="C57" s="456"/>
      <c r="D57" s="456"/>
      <c r="E57" s="456"/>
      <c r="F57" s="456"/>
      <c r="G57" s="456"/>
      <c r="H57" s="456"/>
      <c r="J57" s="113"/>
    </row>
    <row r="58" spans="1:10" s="104" customFormat="1" x14ac:dyDescent="0.25">
      <c r="A58" s="105" t="str">
        <f>Orçamento!$A$34</f>
        <v>3.11</v>
      </c>
      <c r="C58" s="460" t="str">
        <f>Orçamento!$D$34</f>
        <v>DEMOLIÇÃO MANUAL DE PISO DE PEDRAS (MÁRMORE, GRANITO, ARDÓSIA, ETC.), INCLUSIVE AFASTAMENTO E EMPILHAMENTO, EXCLUSIVE DEMOLIÇÃO DE CONTRAPISO, TRANSPORTE E RETIRADA DO MATERIAL DEMOLIDO</v>
      </c>
      <c r="D58" s="460"/>
      <c r="E58" s="460"/>
      <c r="F58" s="460"/>
      <c r="G58" s="460"/>
      <c r="H58" s="460"/>
      <c r="I58" s="104" t="s">
        <v>7</v>
      </c>
      <c r="J58" s="111">
        <f>J59</f>
        <v>11.92</v>
      </c>
    </row>
    <row r="59" spans="1:10" x14ac:dyDescent="0.25">
      <c r="A59" s="101"/>
      <c r="C59" s="456" t="s">
        <v>310</v>
      </c>
      <c r="D59" s="456"/>
      <c r="E59" s="456"/>
      <c r="F59" s="456"/>
      <c r="G59" s="456"/>
      <c r="H59" s="456"/>
      <c r="I59" s="30" t="s">
        <v>7</v>
      </c>
      <c r="J59" s="113">
        <v>11.92</v>
      </c>
    </row>
    <row r="60" spans="1:10" x14ac:dyDescent="0.25">
      <c r="A60" s="101"/>
      <c r="C60" s="456"/>
      <c r="D60" s="456"/>
      <c r="E60" s="456"/>
      <c r="F60" s="456"/>
      <c r="G60" s="456"/>
      <c r="H60" s="456"/>
      <c r="J60" s="113"/>
    </row>
    <row r="61" spans="1:10" s="104" customFormat="1" x14ac:dyDescent="0.25">
      <c r="A61" s="105" t="str">
        <f>Orçamento!$A$35</f>
        <v>3.12</v>
      </c>
      <c r="C61" s="460" t="str">
        <f>Orçamento!D$35</f>
        <v>DEMOLIÇÃO MANUAL DE PISO VINÍLICO, INCLUSIVE AFASTAMENTO E EMPILHAMENTO, EXCLUSIVE TRANSPORTE E RETIRADA DO MATERIAL DEMOLIDO</v>
      </c>
      <c r="D61" s="460"/>
      <c r="E61" s="460"/>
      <c r="F61" s="460"/>
      <c r="G61" s="460"/>
      <c r="H61" s="460"/>
      <c r="I61" s="104" t="s">
        <v>7</v>
      </c>
      <c r="J61" s="111">
        <f>SUM(J62:J63)</f>
        <v>62.17</v>
      </c>
    </row>
    <row r="62" spans="1:10" x14ac:dyDescent="0.25">
      <c r="A62" s="101"/>
      <c r="C62" s="456" t="s">
        <v>308</v>
      </c>
      <c r="D62" s="456"/>
      <c r="E62" s="456"/>
      <c r="F62" s="456"/>
      <c r="G62" s="456"/>
      <c r="H62" s="456"/>
      <c r="I62" s="30" t="s">
        <v>7</v>
      </c>
      <c r="J62" s="113">
        <v>35.36</v>
      </c>
    </row>
    <row r="63" spans="1:10" x14ac:dyDescent="0.25">
      <c r="A63" s="101"/>
      <c r="C63" s="456" t="s">
        <v>309</v>
      </c>
      <c r="D63" s="456"/>
      <c r="E63" s="456"/>
      <c r="F63" s="456"/>
      <c r="G63" s="456"/>
      <c r="H63" s="456"/>
      <c r="I63" s="30" t="s">
        <v>7</v>
      </c>
      <c r="J63" s="113">
        <v>26.81</v>
      </c>
    </row>
    <row r="64" spans="1:10" x14ac:dyDescent="0.25">
      <c r="A64" s="101"/>
      <c r="C64" s="456"/>
      <c r="D64" s="456"/>
      <c r="E64" s="456"/>
      <c r="F64" s="456"/>
      <c r="G64" s="456"/>
      <c r="H64" s="456"/>
      <c r="J64" s="113"/>
    </row>
    <row r="65" spans="1:10" s="104" customFormat="1" x14ac:dyDescent="0.25">
      <c r="A65" s="105" t="str">
        <f>Orçamento!$A$36</f>
        <v>3.13</v>
      </c>
      <c r="C65" s="460" t="s">
        <v>640</v>
      </c>
      <c r="D65" s="460"/>
      <c r="E65" s="460"/>
      <c r="F65" s="460"/>
      <c r="G65" s="460"/>
      <c r="H65" s="460"/>
      <c r="I65" s="104" t="s">
        <v>301</v>
      </c>
      <c r="J65" s="111">
        <f>SUM(J66:J69)</f>
        <v>95.56</v>
      </c>
    </row>
    <row r="66" spans="1:10" x14ac:dyDescent="0.25">
      <c r="A66" s="101"/>
      <c r="C66" s="456" t="s">
        <v>308</v>
      </c>
      <c r="D66" s="456"/>
      <c r="E66" s="456"/>
      <c r="F66" s="456"/>
      <c r="G66" s="456"/>
      <c r="H66" s="456"/>
      <c r="I66" s="30" t="s">
        <v>301</v>
      </c>
      <c r="J66" s="113">
        <f>5.11+5.04+6.94+0.94*2+2.99+1.9*3+2</f>
        <v>29.66</v>
      </c>
    </row>
    <row r="67" spans="1:10" x14ac:dyDescent="0.25">
      <c r="A67" s="101"/>
      <c r="C67" s="456" t="s">
        <v>309</v>
      </c>
      <c r="D67" s="456"/>
      <c r="E67" s="456"/>
      <c r="F67" s="456"/>
      <c r="G67" s="456"/>
      <c r="H67" s="456"/>
      <c r="I67" s="30" t="s">
        <v>301</v>
      </c>
      <c r="J67" s="113">
        <f>5.49+1.34+0.1+0.6+0.7+3.38+0.1+1.74</f>
        <v>13.45</v>
      </c>
    </row>
    <row r="68" spans="1:10" x14ac:dyDescent="0.25">
      <c r="A68" s="101"/>
      <c r="C68" s="456" t="s">
        <v>310</v>
      </c>
      <c r="D68" s="456"/>
      <c r="E68" s="456"/>
      <c r="F68" s="456"/>
      <c r="G68" s="456"/>
      <c r="H68" s="456"/>
      <c r="I68" s="30" t="s">
        <v>301</v>
      </c>
      <c r="J68" s="113">
        <f>1.44+1.73+2.26+2.7</f>
        <v>8.129999999999999</v>
      </c>
    </row>
    <row r="69" spans="1:10" x14ac:dyDescent="0.25">
      <c r="A69" s="101"/>
      <c r="C69" s="456" t="s">
        <v>314</v>
      </c>
      <c r="D69" s="456"/>
      <c r="E69" s="456"/>
      <c r="F69" s="456"/>
      <c r="G69" s="456"/>
      <c r="H69" s="456"/>
      <c r="I69" s="30" t="s">
        <v>301</v>
      </c>
      <c r="J69" s="113">
        <f>11.46*2+7.8*2+2.9*2</f>
        <v>44.32</v>
      </c>
    </row>
    <row r="70" spans="1:10" x14ac:dyDescent="0.25">
      <c r="A70" s="101"/>
      <c r="C70" s="456"/>
      <c r="D70" s="456"/>
      <c r="E70" s="456"/>
      <c r="F70" s="456"/>
      <c r="G70" s="456"/>
      <c r="H70" s="456"/>
      <c r="J70" s="113"/>
    </row>
    <row r="71" spans="1:10" s="104" customFormat="1" x14ac:dyDescent="0.25">
      <c r="A71" s="105" t="str">
        <f>Orçamento!$A$37</f>
        <v>3.14</v>
      </c>
      <c r="C71" s="459" t="s">
        <v>283</v>
      </c>
      <c r="D71" s="459"/>
      <c r="E71" s="459"/>
      <c r="F71" s="459"/>
      <c r="G71" s="459"/>
      <c r="H71" s="459"/>
      <c r="I71" s="104" t="s">
        <v>301</v>
      </c>
      <c r="J71" s="111">
        <f>SUM(J72:J72)</f>
        <v>4.5</v>
      </c>
    </row>
    <row r="72" spans="1:10" x14ac:dyDescent="0.25">
      <c r="A72" s="101"/>
      <c r="C72" s="456" t="s">
        <v>310</v>
      </c>
      <c r="D72" s="456"/>
      <c r="E72" s="456"/>
      <c r="F72" s="456"/>
      <c r="G72" s="456"/>
      <c r="H72" s="456"/>
      <c r="I72" s="30" t="s">
        <v>301</v>
      </c>
      <c r="J72" s="113">
        <f>2.24+2.26</f>
        <v>4.5</v>
      </c>
    </row>
    <row r="73" spans="1:10" ht="15.75" thickBot="1" x14ac:dyDescent="0.3">
      <c r="A73" s="101"/>
      <c r="C73" s="456"/>
      <c r="D73" s="456"/>
      <c r="E73" s="456"/>
      <c r="F73" s="456"/>
      <c r="G73" s="456"/>
      <c r="H73" s="456"/>
      <c r="J73" s="113"/>
    </row>
    <row r="74" spans="1:10" ht="15.75" thickBot="1" x14ac:dyDescent="0.3">
      <c r="A74" s="122">
        <v>4</v>
      </c>
      <c r="B74" s="123"/>
      <c r="C74" s="467" t="s">
        <v>14</v>
      </c>
      <c r="D74" s="467"/>
      <c r="E74" s="467"/>
      <c r="F74" s="467"/>
      <c r="G74" s="467"/>
      <c r="H74" s="467"/>
      <c r="I74" s="123"/>
      <c r="J74" s="124"/>
    </row>
    <row r="75" spans="1:10" ht="36.75" customHeight="1" x14ac:dyDescent="0.25">
      <c r="A75" s="103" t="s">
        <v>58</v>
      </c>
      <c r="B75" s="117"/>
      <c r="C75" s="466" t="s">
        <v>108</v>
      </c>
      <c r="D75" s="466"/>
      <c r="E75" s="466"/>
      <c r="F75" s="466"/>
      <c r="G75" s="466"/>
      <c r="H75" s="466"/>
      <c r="I75" s="117" t="s">
        <v>7</v>
      </c>
      <c r="J75" s="106">
        <f>SUM(J76:J79)</f>
        <v>157.97</v>
      </c>
    </row>
    <row r="76" spans="1:10" s="109" customFormat="1" x14ac:dyDescent="0.25">
      <c r="A76" s="108"/>
      <c r="C76" s="454" t="s">
        <v>306</v>
      </c>
      <c r="D76" s="454"/>
      <c r="E76" s="454"/>
      <c r="F76" s="454"/>
      <c r="G76" s="454"/>
      <c r="H76" s="454"/>
      <c r="I76" s="118" t="s">
        <v>7</v>
      </c>
      <c r="J76" s="114">
        <f>33.44</f>
        <v>33.44</v>
      </c>
    </row>
    <row r="77" spans="1:10" s="109" customFormat="1" x14ac:dyDescent="0.25">
      <c r="A77" s="108"/>
      <c r="C77" s="454" t="s">
        <v>307</v>
      </c>
      <c r="D77" s="454"/>
      <c r="E77" s="454"/>
      <c r="F77" s="454"/>
      <c r="G77" s="454"/>
      <c r="H77" s="454"/>
      <c r="I77" s="118" t="s">
        <v>7</v>
      </c>
      <c r="J77" s="114">
        <v>7.63</v>
      </c>
    </row>
    <row r="78" spans="1:10" s="109" customFormat="1" x14ac:dyDescent="0.25">
      <c r="A78" s="108"/>
      <c r="C78" s="454" t="s">
        <v>308</v>
      </c>
      <c r="D78" s="454"/>
      <c r="E78" s="454"/>
      <c r="F78" s="454"/>
      <c r="G78" s="454"/>
      <c r="H78" s="454"/>
      <c r="I78" s="118" t="s">
        <v>7</v>
      </c>
      <c r="J78" s="114">
        <v>31.57</v>
      </c>
    </row>
    <row r="79" spans="1:10" x14ac:dyDescent="0.25">
      <c r="A79" s="101"/>
      <c r="C79" s="456" t="s">
        <v>314</v>
      </c>
      <c r="D79" s="456"/>
      <c r="E79" s="456"/>
      <c r="F79" s="456"/>
      <c r="G79" s="456"/>
      <c r="H79" s="456"/>
      <c r="I79" s="30" t="s">
        <v>7</v>
      </c>
      <c r="J79" s="113">
        <v>85.33</v>
      </c>
    </row>
    <row r="80" spans="1:10" s="109" customFormat="1" x14ac:dyDescent="0.25">
      <c r="A80" s="108"/>
      <c r="C80" s="454"/>
      <c r="D80" s="454"/>
      <c r="E80" s="454"/>
      <c r="F80" s="454"/>
      <c r="G80" s="454"/>
      <c r="H80" s="454"/>
      <c r="I80" s="118"/>
      <c r="J80" s="114"/>
    </row>
    <row r="81" spans="1:10" ht="36.75" customHeight="1" x14ac:dyDescent="0.25">
      <c r="A81" s="103" t="str">
        <f>Orçamento!A41</f>
        <v>4.2</v>
      </c>
      <c r="B81" s="117"/>
      <c r="C81" s="466" t="str">
        <f>Orçamento!D41</f>
        <v xml:space="preserve"> REBOCO COM ARGAMASSA, TRAÇO 1:2:8 (CIMENTO, CAL E AREIA) , ESP. 20MM, APLICAÇÃO MANUAL, INCLUSIVE ARGAMASSA COM PREPARO MECANIZADO, EXCLUSIVE CHAPISCO</v>
      </c>
      <c r="D81" s="466"/>
      <c r="E81" s="466"/>
      <c r="F81" s="466"/>
      <c r="G81" s="466"/>
      <c r="H81" s="466"/>
      <c r="I81" s="117" t="s">
        <v>7</v>
      </c>
      <c r="J81" s="106">
        <f>SUM(J82:J82)</f>
        <v>7.6589999999999998</v>
      </c>
    </row>
    <row r="82" spans="1:10" s="109" customFormat="1" x14ac:dyDescent="0.25">
      <c r="A82" s="108"/>
      <c r="C82" s="454" t="s">
        <v>306</v>
      </c>
      <c r="D82" s="454"/>
      <c r="E82" s="454"/>
      <c r="F82" s="454"/>
      <c r="G82" s="454"/>
      <c r="H82" s="454"/>
      <c r="I82" s="118" t="s">
        <v>7</v>
      </c>
      <c r="J82" s="114">
        <f>3.33*2.3</f>
        <v>7.6589999999999998</v>
      </c>
    </row>
    <row r="83" spans="1:10" s="109" customFormat="1" x14ac:dyDescent="0.25">
      <c r="A83" s="108"/>
      <c r="C83" s="454"/>
      <c r="D83" s="454"/>
      <c r="E83" s="454"/>
      <c r="F83" s="454"/>
      <c r="G83" s="454"/>
      <c r="H83" s="454"/>
      <c r="I83" s="118"/>
      <c r="J83" s="114"/>
    </row>
    <row r="84" spans="1:10" x14ac:dyDescent="0.25">
      <c r="A84" s="103" t="str">
        <f>Orçamento!A42</f>
        <v>4.3</v>
      </c>
      <c r="B84" s="117"/>
      <c r="C84" s="466" t="str">
        <f>Orçamento!$D$42</f>
        <v xml:space="preserve">RECOMPOSIÇÃO DE PAREDE (FURO DE PASSAGEM DO EXAUSTOR) </v>
      </c>
      <c r="D84" s="466"/>
      <c r="E84" s="466"/>
      <c r="F84" s="466"/>
      <c r="G84" s="466"/>
      <c r="H84" s="466"/>
      <c r="I84" s="117" t="str">
        <f>Orçamento!E42</f>
        <v xml:space="preserve">UN </v>
      </c>
      <c r="J84" s="106">
        <v>2</v>
      </c>
    </row>
    <row r="85" spans="1:10" s="109" customFormat="1" x14ac:dyDescent="0.25">
      <c r="A85" s="108"/>
      <c r="C85" s="454" t="s">
        <v>306</v>
      </c>
      <c r="D85" s="454"/>
      <c r="E85" s="454"/>
      <c r="F85" s="454"/>
      <c r="G85" s="454"/>
      <c r="H85" s="454"/>
      <c r="I85" s="118" t="str">
        <f>I84</f>
        <v xml:space="preserve">UN </v>
      </c>
      <c r="J85" s="114">
        <v>2</v>
      </c>
    </row>
    <row r="86" spans="1:10" s="109" customFormat="1" ht="15.75" thickBot="1" x14ac:dyDescent="0.3">
      <c r="A86" s="108"/>
      <c r="C86" s="454"/>
      <c r="D86" s="454"/>
      <c r="E86" s="454"/>
      <c r="F86" s="454"/>
      <c r="G86" s="454"/>
      <c r="H86" s="454"/>
      <c r="I86" s="118"/>
      <c r="J86" s="114"/>
    </row>
    <row r="87" spans="1:10" ht="15.75" thickBot="1" x14ac:dyDescent="0.3">
      <c r="A87" s="122">
        <v>5</v>
      </c>
      <c r="B87" s="123"/>
      <c r="C87" s="467" t="s">
        <v>16</v>
      </c>
      <c r="D87" s="467"/>
      <c r="E87" s="467"/>
      <c r="F87" s="467"/>
      <c r="G87" s="467"/>
      <c r="H87" s="467"/>
      <c r="I87" s="123"/>
      <c r="J87" s="124"/>
    </row>
    <row r="88" spans="1:10" x14ac:dyDescent="0.25">
      <c r="A88" s="103" t="s">
        <v>59</v>
      </c>
      <c r="B88" s="117"/>
      <c r="C88" s="459" t="s">
        <v>17</v>
      </c>
      <c r="D88" s="459"/>
      <c r="E88" s="459"/>
      <c r="F88" s="459"/>
      <c r="G88" s="459"/>
      <c r="H88" s="459"/>
      <c r="I88" s="117" t="s">
        <v>7</v>
      </c>
      <c r="J88" s="106">
        <f>SUM(J89:J92)</f>
        <v>2.2483000000000004</v>
      </c>
    </row>
    <row r="89" spans="1:10" x14ac:dyDescent="0.25">
      <c r="A89" s="101"/>
      <c r="C89" s="456" t="s">
        <v>308</v>
      </c>
      <c r="D89" s="456"/>
      <c r="E89" s="456"/>
      <c r="F89" s="456"/>
      <c r="G89" s="456"/>
      <c r="H89" s="456"/>
      <c r="I89" s="30" t="s">
        <v>7</v>
      </c>
      <c r="J89" s="113">
        <f>5.09*0.1</f>
        <v>0.50900000000000001</v>
      </c>
    </row>
    <row r="90" spans="1:10" x14ac:dyDescent="0.25">
      <c r="A90" s="101"/>
      <c r="C90" s="456" t="s">
        <v>309</v>
      </c>
      <c r="D90" s="456"/>
      <c r="E90" s="456"/>
      <c r="F90" s="456"/>
      <c r="G90" s="456"/>
      <c r="H90" s="456"/>
      <c r="I90" s="30" t="s">
        <v>7</v>
      </c>
      <c r="J90" s="113">
        <f>1.9*0.15</f>
        <v>0.28499999999999998</v>
      </c>
    </row>
    <row r="91" spans="1:10" x14ac:dyDescent="0.25">
      <c r="A91" s="101"/>
      <c r="C91" s="456" t="s">
        <v>310</v>
      </c>
      <c r="D91" s="456"/>
      <c r="E91" s="456"/>
      <c r="F91" s="456"/>
      <c r="G91" s="456"/>
      <c r="H91" s="456"/>
      <c r="I91" s="30" t="s">
        <v>7</v>
      </c>
      <c r="J91" s="113">
        <f>5.71*0.13</f>
        <v>0.74230000000000007</v>
      </c>
    </row>
    <row r="92" spans="1:10" x14ac:dyDescent="0.25">
      <c r="A92" s="101"/>
      <c r="C92" s="456" t="s">
        <v>311</v>
      </c>
      <c r="D92" s="456"/>
      <c r="E92" s="456"/>
      <c r="F92" s="456"/>
      <c r="G92" s="456"/>
      <c r="H92" s="456"/>
      <c r="I92" s="30" t="s">
        <v>7</v>
      </c>
      <c r="J92" s="113">
        <f>4.45*0.16</f>
        <v>0.71200000000000008</v>
      </c>
    </row>
    <row r="93" spans="1:10" x14ac:dyDescent="0.25">
      <c r="A93" s="101"/>
      <c r="C93" s="454"/>
      <c r="D93" s="454"/>
      <c r="E93" s="454"/>
      <c r="F93" s="454"/>
      <c r="G93" s="454"/>
      <c r="H93" s="454"/>
      <c r="J93" s="113"/>
    </row>
    <row r="94" spans="1:10" ht="31.5" customHeight="1" x14ac:dyDescent="0.25">
      <c r="A94" s="103" t="str">
        <f>Orçamento!$A$46</f>
        <v>5.2</v>
      </c>
      <c r="B94" s="117"/>
      <c r="C94" s="460" t="str">
        <f>Orçamento!$D$46</f>
        <v xml:space="preserve"> FORRO MINERAL REMOVÍVEL MODULAR (1250x625x15MM) THERMATEX ANTARIS. ESTRUTURA APARENTE SK. COR BRANCO. REF. KANUF</v>
      </c>
      <c r="D94" s="460"/>
      <c r="E94" s="460"/>
      <c r="F94" s="460"/>
      <c r="G94" s="460"/>
      <c r="H94" s="460"/>
      <c r="I94" s="117" t="s">
        <v>7</v>
      </c>
      <c r="J94" s="106">
        <f>SUM(J95:J95)</f>
        <v>35.36</v>
      </c>
    </row>
    <row r="95" spans="1:10" x14ac:dyDescent="0.25">
      <c r="A95" s="101"/>
      <c r="C95" s="456" t="s">
        <v>308</v>
      </c>
      <c r="D95" s="456"/>
      <c r="E95" s="456"/>
      <c r="F95" s="456"/>
      <c r="G95" s="456"/>
      <c r="H95" s="456"/>
      <c r="I95" s="30" t="s">
        <v>7</v>
      </c>
      <c r="J95" s="113">
        <f>35.36</f>
        <v>35.36</v>
      </c>
    </row>
    <row r="96" spans="1:10" x14ac:dyDescent="0.25">
      <c r="A96" s="101"/>
      <c r="C96" s="456"/>
      <c r="D96" s="456"/>
      <c r="E96" s="456"/>
      <c r="F96" s="456"/>
      <c r="G96" s="456"/>
      <c r="H96" s="456"/>
      <c r="J96" s="113"/>
    </row>
    <row r="97" spans="1:10" ht="31.5" customHeight="1" x14ac:dyDescent="0.25">
      <c r="A97" s="103" t="str">
        <f>Orçamento!$A$47</f>
        <v>5.3</v>
      </c>
      <c r="B97" s="117"/>
      <c r="C97" s="460" t="str">
        <f>Orçamento!$D$47</f>
        <v>FORRO MINERAL REMOVÍVEL MODULAR (625x625x15MM) THERMATEX ANTARIS. ESTRUTURA APARENTE SK. COR BRANCO. REF. KNAUF</v>
      </c>
      <c r="D97" s="460"/>
      <c r="E97" s="460"/>
      <c r="F97" s="460"/>
      <c r="G97" s="460"/>
      <c r="H97" s="460"/>
      <c r="I97" s="117" t="s">
        <v>7</v>
      </c>
      <c r="J97" s="106">
        <f>J98</f>
        <v>37.409999999999997</v>
      </c>
    </row>
    <row r="98" spans="1:10" x14ac:dyDescent="0.25">
      <c r="A98" s="101"/>
      <c r="C98" s="456" t="s">
        <v>311</v>
      </c>
      <c r="D98" s="456"/>
      <c r="E98" s="456"/>
      <c r="F98" s="456"/>
      <c r="G98" s="456"/>
      <c r="H98" s="456"/>
      <c r="I98" s="30" t="s">
        <v>7</v>
      </c>
      <c r="J98" s="113">
        <v>37.409999999999997</v>
      </c>
    </row>
    <row r="99" spans="1:10" x14ac:dyDescent="0.25">
      <c r="A99" s="101"/>
      <c r="C99" s="456"/>
      <c r="D99" s="456"/>
      <c r="E99" s="456"/>
      <c r="F99" s="456"/>
      <c r="G99" s="456"/>
      <c r="H99" s="456"/>
      <c r="J99" s="113"/>
    </row>
    <row r="100" spans="1:10" ht="51" customHeight="1" x14ac:dyDescent="0.25">
      <c r="A100" s="103" t="str">
        <f>Orçamento!$A$48</f>
        <v>5.4</v>
      </c>
      <c r="B100" s="117"/>
      <c r="C100" s="460" t="str">
        <f>Orçamento!$D$48</f>
        <v>FORRO EM CHAPA DE GESSO ACARTONADA (TIPO: RESISTÊNCIA A UMIDADE (RU), ESP. 12,5MM, COM FIXAÇÃO DO TIPO ESTRUTURADA EM PERFIL METÁLICO, EXCLUSIVE PERFIL TABICA, SANCA E MOLDURA, INCLUSIVE ACESSÓRIOS E FIXAÇÃO</v>
      </c>
      <c r="D100" s="460"/>
      <c r="E100" s="460"/>
      <c r="F100" s="460"/>
      <c r="G100" s="460"/>
      <c r="H100" s="460"/>
      <c r="I100" s="117" t="s">
        <v>7</v>
      </c>
      <c r="J100" s="106">
        <f>SUM(J101:J101)</f>
        <v>85.33</v>
      </c>
    </row>
    <row r="101" spans="1:10" x14ac:dyDescent="0.25">
      <c r="A101" s="101"/>
      <c r="C101" s="456" t="s">
        <v>314</v>
      </c>
      <c r="D101" s="456"/>
      <c r="E101" s="456"/>
      <c r="F101" s="456"/>
      <c r="G101" s="456"/>
      <c r="H101" s="456"/>
      <c r="I101" s="30" t="s">
        <v>7</v>
      </c>
      <c r="J101" s="113">
        <v>85.33</v>
      </c>
    </row>
    <row r="102" spans="1:10" x14ac:dyDescent="0.25">
      <c r="A102" s="101"/>
      <c r="C102" s="456"/>
      <c r="D102" s="456"/>
      <c r="E102" s="456"/>
      <c r="F102" s="456"/>
      <c r="G102" s="456"/>
      <c r="H102" s="456"/>
      <c r="J102" s="113"/>
    </row>
    <row r="103" spans="1:10" ht="31.5" customHeight="1" x14ac:dyDescent="0.25">
      <c r="A103" s="103" t="str">
        <f>Orçamento!$A$49</f>
        <v>5.5</v>
      </c>
      <c r="B103" s="117"/>
      <c r="C103" s="460" t="str">
        <f>Orçamento!$D$49</f>
        <v xml:space="preserve"> ILHA EM FORRO ACÚSTICO DE FIBRA MINERAL COR BRANCO. PLACAS DE 625x625MM. ESPESSURA 19MM. LINHA THERMATEX ANTARIS. ESTRUTURA APARENTE SK. REF. KNAUF CEILING SOLUTIONS</v>
      </c>
      <c r="D103" s="460"/>
      <c r="E103" s="460"/>
      <c r="F103" s="460"/>
      <c r="G103" s="460"/>
      <c r="H103" s="460"/>
      <c r="I103" s="117" t="s">
        <v>7</v>
      </c>
      <c r="J103" s="106">
        <f>J104</f>
        <v>42.5</v>
      </c>
    </row>
    <row r="104" spans="1:10" x14ac:dyDescent="0.25">
      <c r="A104" s="101"/>
      <c r="C104" s="456" t="s">
        <v>309</v>
      </c>
      <c r="D104" s="456"/>
      <c r="E104" s="456"/>
      <c r="F104" s="456"/>
      <c r="G104" s="456"/>
      <c r="H104" s="456"/>
      <c r="I104" s="30" t="s">
        <v>7</v>
      </c>
      <c r="J104" s="113">
        <f>(0.625*4*5)+(0.625*4*3)+(0.625*4*6)+(0.625*4*3)</f>
        <v>42.5</v>
      </c>
    </row>
    <row r="105" spans="1:10" x14ac:dyDescent="0.25">
      <c r="A105" s="101"/>
      <c r="C105" s="456"/>
      <c r="D105" s="456"/>
      <c r="E105" s="456"/>
      <c r="F105" s="456"/>
      <c r="G105" s="456"/>
      <c r="H105" s="456"/>
      <c r="J105" s="113"/>
    </row>
    <row r="106" spans="1:10" ht="39.75" customHeight="1" x14ac:dyDescent="0.25">
      <c r="A106" s="103" t="str">
        <f>Orçamento!$A$50</f>
        <v>5.6</v>
      </c>
      <c r="B106" s="117"/>
      <c r="C106" s="460" t="s">
        <v>110</v>
      </c>
      <c r="D106" s="460"/>
      <c r="E106" s="460"/>
      <c r="F106" s="460"/>
      <c r="G106" s="460"/>
      <c r="H106" s="460"/>
      <c r="I106" s="117" t="s">
        <v>7</v>
      </c>
      <c r="J106" s="106">
        <f>SUM(J107:J107)</f>
        <v>1.5227999999999999</v>
      </c>
    </row>
    <row r="107" spans="1:10" x14ac:dyDescent="0.25">
      <c r="A107" s="101"/>
      <c r="C107" s="454" t="s">
        <v>675</v>
      </c>
      <c r="D107" s="454"/>
      <c r="E107" s="454"/>
      <c r="F107" s="454"/>
      <c r="G107" s="454"/>
      <c r="H107" s="454"/>
      <c r="I107" s="30" t="s">
        <v>7</v>
      </c>
      <c r="J107" s="113">
        <f>0.564*2.7</f>
        <v>1.5227999999999999</v>
      </c>
    </row>
    <row r="108" spans="1:10" x14ac:dyDescent="0.25">
      <c r="A108" s="101"/>
      <c r="C108" s="454"/>
      <c r="D108" s="454"/>
      <c r="E108" s="454"/>
      <c r="F108" s="454"/>
      <c r="G108" s="454"/>
      <c r="H108" s="454"/>
      <c r="J108" s="113"/>
    </row>
    <row r="109" spans="1:10" ht="30.75" customHeight="1" x14ac:dyDescent="0.25">
      <c r="A109" s="103" t="str">
        <f>Orçamento!$A$51</f>
        <v>5.7</v>
      </c>
      <c r="B109" s="117"/>
      <c r="C109" s="460" t="s">
        <v>109</v>
      </c>
      <c r="D109" s="460"/>
      <c r="E109" s="460"/>
      <c r="F109" s="460"/>
      <c r="G109" s="460"/>
      <c r="H109" s="460"/>
      <c r="I109" s="117" t="s">
        <v>7</v>
      </c>
      <c r="J109" s="106">
        <f>SUM(J110:J114)</f>
        <v>18.474939999999997</v>
      </c>
    </row>
    <row r="110" spans="1:10" x14ac:dyDescent="0.25">
      <c r="A110" s="101"/>
      <c r="C110" s="456" t="s">
        <v>671</v>
      </c>
      <c r="D110" s="456"/>
      <c r="E110" s="456"/>
      <c r="F110" s="456"/>
      <c r="G110" s="456"/>
      <c r="H110" s="456"/>
      <c r="I110" s="30" t="s">
        <v>7</v>
      </c>
      <c r="J110" s="113">
        <f>6.17*2.3</f>
        <v>14.190999999999999</v>
      </c>
    </row>
    <row r="111" spans="1:10" x14ac:dyDescent="0.25">
      <c r="A111" s="101"/>
      <c r="C111" s="456" t="s">
        <v>672</v>
      </c>
      <c r="D111" s="456"/>
      <c r="E111" s="456"/>
      <c r="F111" s="456"/>
      <c r="G111" s="456"/>
      <c r="H111" s="456"/>
      <c r="I111" s="30" t="s">
        <v>7</v>
      </c>
      <c r="J111" s="113">
        <f>0.643*0.92</f>
        <v>0.59156000000000009</v>
      </c>
    </row>
    <row r="112" spans="1:10" x14ac:dyDescent="0.25">
      <c r="A112" s="101"/>
      <c r="C112" s="456" t="s">
        <v>673</v>
      </c>
      <c r="D112" s="456"/>
      <c r="E112" s="456"/>
      <c r="F112" s="456"/>
      <c r="G112" s="456"/>
      <c r="H112" s="456"/>
      <c r="I112" s="30" t="s">
        <v>7</v>
      </c>
      <c r="J112" s="113">
        <f>1.406*1.38</f>
        <v>1.9402799999999998</v>
      </c>
    </row>
    <row r="113" spans="1:10" x14ac:dyDescent="0.25">
      <c r="A113" s="101"/>
      <c r="C113" s="456" t="s">
        <v>673</v>
      </c>
      <c r="D113" s="456"/>
      <c r="E113" s="456"/>
      <c r="F113" s="456"/>
      <c r="G113" s="456"/>
      <c r="H113" s="456"/>
      <c r="I113" s="30" t="s">
        <v>7</v>
      </c>
      <c r="J113" s="113">
        <f>0.177*2.7</f>
        <v>0.47789999999999999</v>
      </c>
    </row>
    <row r="114" spans="1:10" x14ac:dyDescent="0.25">
      <c r="A114" s="101"/>
      <c r="C114" s="456" t="s">
        <v>671</v>
      </c>
      <c r="D114" s="456"/>
      <c r="E114" s="456"/>
      <c r="F114" s="456"/>
      <c r="G114" s="456"/>
      <c r="H114" s="456"/>
      <c r="I114" s="30" t="s">
        <v>7</v>
      </c>
      <c r="J114" s="113">
        <f>0.554*2.3</f>
        <v>1.2742</v>
      </c>
    </row>
    <row r="115" spans="1:10" x14ac:dyDescent="0.25">
      <c r="A115" s="101"/>
      <c r="C115" s="456"/>
      <c r="D115" s="456"/>
      <c r="E115" s="456"/>
      <c r="F115" s="456"/>
      <c r="G115" s="456"/>
      <c r="H115" s="456"/>
      <c r="J115" s="113"/>
    </row>
    <row r="116" spans="1:10" x14ac:dyDescent="0.25">
      <c r="A116" s="103" t="str">
        <f>Orçamento!$A$52</f>
        <v>5.8</v>
      </c>
      <c r="B116" s="117"/>
      <c r="C116" s="460" t="s">
        <v>111</v>
      </c>
      <c r="D116" s="460"/>
      <c r="E116" s="460"/>
      <c r="F116" s="460"/>
      <c r="G116" s="460"/>
      <c r="H116" s="460"/>
      <c r="I116" s="117" t="s">
        <v>7</v>
      </c>
      <c r="J116" s="106">
        <f>SUM(J117:J121)</f>
        <v>18.474939999999997</v>
      </c>
    </row>
    <row r="117" spans="1:10" x14ac:dyDescent="0.25">
      <c r="A117" s="101"/>
      <c r="C117" s="456" t="s">
        <v>671</v>
      </c>
      <c r="D117" s="456"/>
      <c r="E117" s="456"/>
      <c r="F117" s="456"/>
      <c r="G117" s="456"/>
      <c r="H117" s="456"/>
      <c r="I117" s="30" t="s">
        <v>7</v>
      </c>
      <c r="J117" s="113">
        <f>6.17*2.3</f>
        <v>14.190999999999999</v>
      </c>
    </row>
    <row r="118" spans="1:10" x14ac:dyDescent="0.25">
      <c r="A118" s="101"/>
      <c r="C118" s="456" t="s">
        <v>672</v>
      </c>
      <c r="D118" s="456"/>
      <c r="E118" s="456"/>
      <c r="F118" s="456"/>
      <c r="G118" s="456"/>
      <c r="H118" s="456"/>
      <c r="I118" s="30" t="s">
        <v>7</v>
      </c>
      <c r="J118" s="113">
        <f>0.643*0.92</f>
        <v>0.59156000000000009</v>
      </c>
    </row>
    <row r="119" spans="1:10" x14ac:dyDescent="0.25">
      <c r="A119" s="101"/>
      <c r="C119" s="456" t="s">
        <v>673</v>
      </c>
      <c r="D119" s="456"/>
      <c r="E119" s="456"/>
      <c r="F119" s="456"/>
      <c r="G119" s="456"/>
      <c r="H119" s="456"/>
      <c r="I119" s="30" t="s">
        <v>7</v>
      </c>
      <c r="J119" s="113">
        <f>1.406*1.38</f>
        <v>1.9402799999999998</v>
      </c>
    </row>
    <row r="120" spans="1:10" x14ac:dyDescent="0.25">
      <c r="A120" s="101"/>
      <c r="C120" s="456" t="s">
        <v>673</v>
      </c>
      <c r="D120" s="456"/>
      <c r="E120" s="456"/>
      <c r="F120" s="456"/>
      <c r="G120" s="456"/>
      <c r="H120" s="456"/>
      <c r="I120" s="30" t="s">
        <v>7</v>
      </c>
      <c r="J120" s="113">
        <f>0.177*2.7</f>
        <v>0.47789999999999999</v>
      </c>
    </row>
    <row r="121" spans="1:10" x14ac:dyDescent="0.25">
      <c r="A121" s="101"/>
      <c r="C121" s="456" t="s">
        <v>671</v>
      </c>
      <c r="D121" s="456"/>
      <c r="E121" s="456"/>
      <c r="F121" s="456"/>
      <c r="G121" s="456"/>
      <c r="H121" s="456"/>
      <c r="I121" s="30" t="s">
        <v>7</v>
      </c>
      <c r="J121" s="113">
        <f>0.554*2.3</f>
        <v>1.2742</v>
      </c>
    </row>
    <row r="122" spans="1:10" x14ac:dyDescent="0.25">
      <c r="A122" s="101"/>
      <c r="C122" s="456"/>
      <c r="D122" s="456"/>
      <c r="E122" s="456"/>
      <c r="F122" s="456"/>
      <c r="G122" s="456"/>
      <c r="H122" s="456"/>
      <c r="J122" s="113"/>
    </row>
    <row r="123" spans="1:10" x14ac:dyDescent="0.25">
      <c r="A123" s="103" t="str">
        <f>Orçamento!$A$53</f>
        <v>5.9</v>
      </c>
      <c r="B123" s="117"/>
      <c r="C123" s="460" t="str">
        <f>Orçamento!$D$53</f>
        <v>SÉPTOS COM PLACAS DE GESSO ACARTONADO (DRYWALL), PARA USO INTERNO, COM DUAS FACES DUPLAS E ESTRUTURA METÁLICA COM GUIAS SIMPLES.</v>
      </c>
      <c r="D123" s="460"/>
      <c r="E123" s="460"/>
      <c r="F123" s="460"/>
      <c r="G123" s="460"/>
      <c r="H123" s="460"/>
      <c r="I123" s="117" t="s">
        <v>7</v>
      </c>
      <c r="J123" s="106">
        <f>SUM(J124:J124)</f>
        <v>1.1390600000000002</v>
      </c>
    </row>
    <row r="124" spans="1:10" x14ac:dyDescent="0.25">
      <c r="A124" s="101"/>
      <c r="C124" s="456" t="s">
        <v>674</v>
      </c>
      <c r="D124" s="456"/>
      <c r="E124" s="456"/>
      <c r="F124" s="456"/>
      <c r="G124" s="456"/>
      <c r="H124" s="456"/>
      <c r="I124" s="30" t="s">
        <v>7</v>
      </c>
      <c r="J124" s="113">
        <f>8.762*0.13</f>
        <v>1.1390600000000002</v>
      </c>
    </row>
    <row r="125" spans="1:10" ht="15.75" thickBot="1" x14ac:dyDescent="0.3">
      <c r="A125" s="101"/>
      <c r="C125" s="454"/>
      <c r="D125" s="454"/>
      <c r="E125" s="454"/>
      <c r="F125" s="454"/>
      <c r="G125" s="454"/>
      <c r="H125" s="454"/>
      <c r="J125" s="113"/>
    </row>
    <row r="126" spans="1:10" ht="15.75" thickBot="1" x14ac:dyDescent="0.3">
      <c r="A126" s="119">
        <v>6</v>
      </c>
      <c r="B126" s="120"/>
      <c r="C126" s="458" t="s">
        <v>151</v>
      </c>
      <c r="D126" s="458"/>
      <c r="E126" s="458"/>
      <c r="F126" s="458"/>
      <c r="G126" s="458"/>
      <c r="H126" s="458"/>
      <c r="I126" s="120"/>
      <c r="J126" s="121"/>
    </row>
    <row r="127" spans="1:10" ht="44.25" customHeight="1" x14ac:dyDescent="0.25">
      <c r="A127" s="103" t="s">
        <v>64</v>
      </c>
      <c r="B127" s="117"/>
      <c r="C127" s="460" t="str">
        <f>Orçamento!$D$56</f>
        <v>PISO VINÍLICO EM PLACA 30x30cM COM ESPESSURA 2MM. PAVIFLEX NATURAL COLEÇÃO THRU. COR 668 ARENITO. REF. TARKETT</v>
      </c>
      <c r="D127" s="460"/>
      <c r="E127" s="460"/>
      <c r="F127" s="460"/>
      <c r="G127" s="460"/>
      <c r="H127" s="460"/>
      <c r="I127" s="117" t="s">
        <v>7</v>
      </c>
      <c r="J127" s="106">
        <f>SUM(J128:J131)</f>
        <v>72.64</v>
      </c>
    </row>
    <row r="128" spans="1:10" s="109" customFormat="1" x14ac:dyDescent="0.25">
      <c r="A128" s="108"/>
      <c r="C128" s="454" t="s">
        <v>306</v>
      </c>
      <c r="D128" s="454"/>
      <c r="E128" s="454"/>
      <c r="F128" s="454"/>
      <c r="G128" s="454"/>
      <c r="H128" s="454"/>
      <c r="I128" s="118" t="s">
        <v>7</v>
      </c>
      <c r="J128" s="114">
        <f>33.44</f>
        <v>33.44</v>
      </c>
    </row>
    <row r="129" spans="1:10" s="109" customFormat="1" x14ac:dyDescent="0.25">
      <c r="A129" s="108"/>
      <c r="C129" s="454" t="s">
        <v>307</v>
      </c>
      <c r="D129" s="454"/>
      <c r="E129" s="454"/>
      <c r="F129" s="454"/>
      <c r="G129" s="454"/>
      <c r="H129" s="454"/>
      <c r="I129" s="118" t="s">
        <v>7</v>
      </c>
      <c r="J129" s="114">
        <v>7.63</v>
      </c>
    </row>
    <row r="130" spans="1:10" s="109" customFormat="1" x14ac:dyDescent="0.25">
      <c r="A130" s="108"/>
      <c r="C130" s="454" t="s">
        <v>308</v>
      </c>
      <c r="D130" s="454"/>
      <c r="E130" s="454"/>
      <c r="F130" s="454"/>
      <c r="G130" s="454"/>
      <c r="H130" s="454"/>
      <c r="I130" s="118" t="s">
        <v>7</v>
      </c>
      <c r="J130" s="114">
        <v>31.57</v>
      </c>
    </row>
    <row r="131" spans="1:10" x14ac:dyDescent="0.25">
      <c r="A131" s="101"/>
      <c r="C131" s="456"/>
      <c r="D131" s="456"/>
      <c r="E131" s="456"/>
      <c r="F131" s="456"/>
      <c r="G131" s="456"/>
      <c r="H131" s="456"/>
      <c r="J131" s="113"/>
    </row>
    <row r="132" spans="1:10" ht="30.75" customHeight="1" x14ac:dyDescent="0.25">
      <c r="A132" s="103" t="s">
        <v>65</v>
      </c>
      <c r="B132" s="117"/>
      <c r="C132" s="460" t="str">
        <f>Orçamento!$D$57</f>
        <v>REVESTIMENTO CERÂMICO ESMALTADO DE BORDA ARREDONDADA NO FORMATO 61X61CM, MODELO ASPEN CINZA DA MARCA ROSAGRÊS</v>
      </c>
      <c r="D132" s="460"/>
      <c r="E132" s="460"/>
      <c r="F132" s="460"/>
      <c r="G132" s="460"/>
      <c r="H132" s="460"/>
      <c r="I132" s="117" t="s">
        <v>7</v>
      </c>
      <c r="J132" s="106">
        <f>SUM(J133)</f>
        <v>85.33</v>
      </c>
    </row>
    <row r="133" spans="1:10" x14ac:dyDescent="0.25">
      <c r="A133" s="101"/>
      <c r="C133" s="456" t="s">
        <v>314</v>
      </c>
      <c r="D133" s="456"/>
      <c r="E133" s="456"/>
      <c r="F133" s="456"/>
      <c r="G133" s="456"/>
      <c r="H133" s="456"/>
      <c r="I133" s="30" t="s">
        <v>7</v>
      </c>
      <c r="J133" s="113">
        <v>85.33</v>
      </c>
    </row>
    <row r="134" spans="1:10" x14ac:dyDescent="0.25">
      <c r="A134" s="101"/>
      <c r="C134" s="456"/>
      <c r="D134" s="456"/>
      <c r="E134" s="456"/>
      <c r="F134" s="456"/>
      <c r="G134" s="456"/>
      <c r="H134" s="456"/>
      <c r="J134" s="113"/>
    </row>
    <row r="135" spans="1:10" x14ac:dyDescent="0.25">
      <c r="A135" s="103" t="s">
        <v>60</v>
      </c>
      <c r="B135" s="117"/>
      <c r="C135" s="460" t="str">
        <f>Orçamento!$D$58</f>
        <v xml:space="preserve">	SOLEIRA/PEITORIL EM GRANITO, LARGURA 15 CM, ESPESSURA 2,0 CM. AF_09/2020</v>
      </c>
      <c r="D135" s="460"/>
      <c r="E135" s="460"/>
      <c r="F135" s="460"/>
      <c r="G135" s="460"/>
      <c r="H135" s="460"/>
      <c r="I135" s="117" t="s">
        <v>7</v>
      </c>
      <c r="J135" s="106">
        <f>SUM(J136)</f>
        <v>0.13500000000000001</v>
      </c>
    </row>
    <row r="136" spans="1:10" x14ac:dyDescent="0.25">
      <c r="A136" s="101"/>
      <c r="C136" s="454" t="s">
        <v>306</v>
      </c>
      <c r="D136" s="454"/>
      <c r="E136" s="454"/>
      <c r="F136" s="454"/>
      <c r="G136" s="454"/>
      <c r="H136" s="454"/>
      <c r="I136" s="30" t="s">
        <v>7</v>
      </c>
      <c r="J136" s="113">
        <f>0.9*0.15</f>
        <v>0.13500000000000001</v>
      </c>
    </row>
    <row r="137" spans="1:10" x14ac:dyDescent="0.25">
      <c r="A137" s="101"/>
      <c r="C137" s="456"/>
      <c r="D137" s="456"/>
      <c r="E137" s="456"/>
      <c r="F137" s="456"/>
      <c r="G137" s="456"/>
      <c r="H137" s="456"/>
      <c r="J137" s="113"/>
    </row>
    <row r="138" spans="1:10" x14ac:dyDescent="0.25">
      <c r="A138" s="103" t="s">
        <v>66</v>
      </c>
      <c r="B138" s="117"/>
      <c r="C138" s="460" t="str">
        <f>Orçamento!$D$59</f>
        <v>REINSTALAÇÃO DE RODAPÉ EM MADEIRA IPÊ COM VERNIZ MARÍTIMO IPÊ. h=7cM - MATERIAL REAPROVEITADO  (INCLUSO APLICAÇÃO DE VERNIZ)</v>
      </c>
      <c r="D138" s="460"/>
      <c r="E138" s="460"/>
      <c r="F138" s="460"/>
      <c r="G138" s="460"/>
      <c r="H138" s="460"/>
      <c r="I138" s="117" t="s">
        <v>301</v>
      </c>
      <c r="J138" s="106">
        <f>SUM(J139:J140)</f>
        <v>51.42</v>
      </c>
    </row>
    <row r="139" spans="1:10" x14ac:dyDescent="0.25">
      <c r="A139" s="101"/>
      <c r="C139" s="454" t="s">
        <v>306</v>
      </c>
      <c r="D139" s="454"/>
      <c r="E139" s="454"/>
      <c r="F139" s="454"/>
      <c r="G139" s="454"/>
      <c r="H139" s="454"/>
      <c r="I139" s="30" t="s">
        <v>301</v>
      </c>
      <c r="J139" s="113">
        <v>27.32</v>
      </c>
    </row>
    <row r="140" spans="1:10" x14ac:dyDescent="0.25">
      <c r="A140" s="101"/>
      <c r="C140" s="454" t="s">
        <v>308</v>
      </c>
      <c r="D140" s="454"/>
      <c r="E140" s="454"/>
      <c r="F140" s="454"/>
      <c r="G140" s="454"/>
      <c r="H140" s="454"/>
      <c r="I140" s="30" t="s">
        <v>301</v>
      </c>
      <c r="J140" s="113">
        <f>6.94*2+5.11*2</f>
        <v>24.1</v>
      </c>
    </row>
    <row r="141" spans="1:10" x14ac:dyDescent="0.25">
      <c r="A141" s="101"/>
      <c r="C141" s="454"/>
      <c r="D141" s="454"/>
      <c r="E141" s="454"/>
      <c r="F141" s="454"/>
      <c r="G141" s="454"/>
      <c r="H141" s="454"/>
      <c r="J141" s="113"/>
    </row>
    <row r="142" spans="1:10" x14ac:dyDescent="0.25">
      <c r="A142" s="103" t="str">
        <f>Orçamento!A60</f>
        <v>6.5</v>
      </c>
      <c r="B142" s="117"/>
      <c r="C142" s="460" t="str">
        <f>Orçamento!D60</f>
        <v>RODAPÉ EM GRANITO, ALTURA 10 CM. AF_09/2020</v>
      </c>
      <c r="D142" s="460"/>
      <c r="E142" s="460"/>
      <c r="F142" s="460"/>
      <c r="G142" s="460"/>
      <c r="H142" s="460"/>
      <c r="I142" s="117" t="s">
        <v>301</v>
      </c>
      <c r="J142" s="106">
        <f>SUM(J143)</f>
        <v>0.68</v>
      </c>
    </row>
    <row r="143" spans="1:10" x14ac:dyDescent="0.25">
      <c r="A143" s="101"/>
      <c r="C143" s="454" t="s">
        <v>311</v>
      </c>
      <c r="D143" s="454"/>
      <c r="E143" s="454"/>
      <c r="F143" s="454"/>
      <c r="G143" s="454"/>
      <c r="H143" s="454"/>
      <c r="I143" s="30" t="s">
        <v>301</v>
      </c>
      <c r="J143" s="113">
        <v>0.68</v>
      </c>
    </row>
    <row r="144" spans="1:10" x14ac:dyDescent="0.25">
      <c r="A144" s="101"/>
      <c r="C144" s="454"/>
      <c r="D144" s="454"/>
      <c r="E144" s="454"/>
      <c r="F144" s="454"/>
      <c r="G144" s="454"/>
      <c r="H144" s="454"/>
      <c r="J144" s="113"/>
    </row>
    <row r="145" spans="1:15" ht="31.5" customHeight="1" x14ac:dyDescent="0.25">
      <c r="A145" s="103" t="str">
        <f>Orçamento!A61</f>
        <v>6.6</v>
      </c>
      <c r="B145" s="117"/>
      <c r="C145" s="460" t="str">
        <f>Orçamento!D61</f>
        <v>RODAPE COM REVESTIMENTO CERÂMICO ESMALTADO DE BORDA ARREDONDADA NO FORMATO 61X61CM, MODELO ASPEN CINZA DA MARCA ROSAGRÊS, ALTURA 8CM</v>
      </c>
      <c r="D145" s="460"/>
      <c r="E145" s="460"/>
      <c r="F145" s="460"/>
      <c r="G145" s="460"/>
      <c r="H145" s="460"/>
      <c r="I145" s="117" t="s">
        <v>301</v>
      </c>
      <c r="J145" s="106">
        <f>SUM(J146)</f>
        <v>44.32</v>
      </c>
    </row>
    <row r="146" spans="1:15" x14ac:dyDescent="0.25">
      <c r="A146" s="101"/>
      <c r="C146" s="456" t="s">
        <v>314</v>
      </c>
      <c r="D146" s="456"/>
      <c r="E146" s="456"/>
      <c r="F146" s="456"/>
      <c r="G146" s="456"/>
      <c r="H146" s="456"/>
      <c r="I146" s="30" t="s">
        <v>301</v>
      </c>
      <c r="J146" s="113">
        <f>11.46*2+7.8*2+2.9*2</f>
        <v>44.32</v>
      </c>
    </row>
    <row r="147" spans="1:15" x14ac:dyDescent="0.25">
      <c r="A147" s="101"/>
      <c r="C147" s="454"/>
      <c r="D147" s="454"/>
      <c r="E147" s="454"/>
      <c r="F147" s="454"/>
      <c r="G147" s="454"/>
      <c r="H147" s="454"/>
      <c r="J147" s="113"/>
    </row>
    <row r="148" spans="1:15" x14ac:dyDescent="0.25">
      <c r="A148" s="103" t="str">
        <f>Orçamento!A62</f>
        <v>6.7</v>
      </c>
      <c r="B148" s="117"/>
      <c r="C148" s="460" t="str">
        <f>Orçamento!D62</f>
        <v>PISO EM GRANITO APLICADO EM AMBIENTES INTERNOS. AF_09/2020</v>
      </c>
      <c r="D148" s="460"/>
      <c r="E148" s="460"/>
      <c r="F148" s="460"/>
      <c r="G148" s="460"/>
      <c r="H148" s="460"/>
      <c r="I148" s="117" t="s">
        <v>7</v>
      </c>
      <c r="J148" s="106">
        <f>SUM(J149)</f>
        <v>0.45449999999999996</v>
      </c>
    </row>
    <row r="149" spans="1:15" x14ac:dyDescent="0.25">
      <c r="A149" s="101"/>
      <c r="C149" s="454" t="s">
        <v>311</v>
      </c>
      <c r="D149" s="454"/>
      <c r="E149" s="454"/>
      <c r="F149" s="454"/>
      <c r="G149" s="454"/>
      <c r="H149" s="454"/>
      <c r="I149" s="30" t="s">
        <v>7</v>
      </c>
      <c r="J149" s="113">
        <f>3.03*0.15</f>
        <v>0.45449999999999996</v>
      </c>
    </row>
    <row r="150" spans="1:15" ht="15.75" thickBot="1" x14ac:dyDescent="0.3">
      <c r="A150" s="101"/>
      <c r="C150" s="454"/>
      <c r="D150" s="454"/>
      <c r="E150" s="454"/>
      <c r="F150" s="454"/>
      <c r="G150" s="454"/>
      <c r="H150" s="454"/>
      <c r="J150" s="113"/>
    </row>
    <row r="151" spans="1:15" ht="15.75" thickBot="1" x14ac:dyDescent="0.3">
      <c r="A151" s="119">
        <v>7</v>
      </c>
      <c r="B151" s="120"/>
      <c r="C151" s="458" t="s">
        <v>171</v>
      </c>
      <c r="D151" s="458"/>
      <c r="E151" s="458"/>
      <c r="F151" s="458"/>
      <c r="G151" s="458"/>
      <c r="H151" s="458"/>
      <c r="I151" s="120"/>
      <c r="J151" s="121"/>
    </row>
    <row r="152" spans="1:15" x14ac:dyDescent="0.25">
      <c r="A152" s="463" t="s">
        <v>302</v>
      </c>
      <c r="B152" s="464"/>
      <c r="C152" s="464"/>
      <c r="D152" s="464"/>
      <c r="E152" s="464"/>
      <c r="F152" s="464"/>
      <c r="G152" s="464"/>
      <c r="H152" s="464"/>
      <c r="I152" s="464"/>
      <c r="J152" s="465"/>
      <c r="K152" s="456"/>
      <c r="L152" s="456"/>
      <c r="M152" s="456"/>
      <c r="N152" s="456"/>
      <c r="O152" s="456"/>
    </row>
    <row r="153" spans="1:15" ht="31.5" customHeight="1" x14ac:dyDescent="0.25">
      <c r="A153" s="103" t="str">
        <f>Orçamento!A100</f>
        <v>7.5.9</v>
      </c>
      <c r="B153" s="117"/>
      <c r="C153" s="460" t="str">
        <f>Orçamento!D100</f>
        <v>REINSTALAÇÃO DE LUMINÁRIAS</v>
      </c>
      <c r="D153" s="460"/>
      <c r="E153" s="460"/>
      <c r="F153" s="460"/>
      <c r="G153" s="460"/>
      <c r="H153" s="460"/>
      <c r="I153" s="117" t="s">
        <v>718</v>
      </c>
      <c r="J153" s="106">
        <f>SUM(J154)</f>
        <v>8</v>
      </c>
    </row>
    <row r="154" spans="1:15" x14ac:dyDescent="0.25">
      <c r="A154" s="101"/>
      <c r="C154" s="456" t="s">
        <v>314</v>
      </c>
      <c r="D154" s="456"/>
      <c r="E154" s="456"/>
      <c r="F154" s="456"/>
      <c r="G154" s="456"/>
      <c r="H154" s="456"/>
      <c r="I154" s="30" t="s">
        <v>718</v>
      </c>
      <c r="J154" s="113">
        <v>8</v>
      </c>
    </row>
    <row r="155" spans="1:15" x14ac:dyDescent="0.25">
      <c r="A155" s="101"/>
      <c r="C155" s="454"/>
      <c r="D155" s="454"/>
      <c r="E155" s="454"/>
      <c r="F155" s="454"/>
      <c r="G155" s="454"/>
      <c r="H155" s="454"/>
      <c r="J155" s="113"/>
    </row>
    <row r="156" spans="1:15" ht="15.75" thickBot="1" x14ac:dyDescent="0.3">
      <c r="A156" s="461"/>
      <c r="B156" s="456"/>
      <c r="C156" s="456"/>
      <c r="D156" s="456"/>
      <c r="E156" s="456"/>
      <c r="F156" s="456"/>
      <c r="G156" s="456"/>
      <c r="H156" s="456"/>
      <c r="I156" s="456"/>
      <c r="J156" s="462"/>
    </row>
    <row r="157" spans="1:15" ht="15.75" thickBot="1" x14ac:dyDescent="0.3">
      <c r="A157" s="119">
        <v>8</v>
      </c>
      <c r="B157" s="120"/>
      <c r="C157" s="458" t="s">
        <v>614</v>
      </c>
      <c r="D157" s="458"/>
      <c r="E157" s="458"/>
      <c r="F157" s="458"/>
      <c r="G157" s="458"/>
      <c r="H157" s="458"/>
      <c r="I157" s="120"/>
      <c r="J157" s="121"/>
    </row>
    <row r="158" spans="1:15" x14ac:dyDescent="0.25">
      <c r="A158" s="463" t="s">
        <v>302</v>
      </c>
      <c r="B158" s="464"/>
      <c r="C158" s="464"/>
      <c r="D158" s="464"/>
      <c r="E158" s="464"/>
      <c r="F158" s="464"/>
      <c r="G158" s="464"/>
      <c r="H158" s="464"/>
      <c r="I158" s="464"/>
      <c r="J158" s="465"/>
      <c r="K158" s="456"/>
      <c r="L158" s="456"/>
      <c r="M158" s="456"/>
      <c r="N158" s="456"/>
      <c r="O158" s="456"/>
    </row>
    <row r="159" spans="1:15" ht="15.75" thickBot="1" x14ac:dyDescent="0.3">
      <c r="A159" s="461"/>
      <c r="B159" s="456"/>
      <c r="C159" s="456"/>
      <c r="D159" s="456"/>
      <c r="E159" s="456"/>
      <c r="F159" s="456"/>
      <c r="G159" s="456"/>
      <c r="H159" s="456"/>
      <c r="I159" s="456"/>
      <c r="J159" s="462"/>
    </row>
    <row r="160" spans="1:15" ht="15.75" thickBot="1" x14ac:dyDescent="0.3">
      <c r="A160" s="119">
        <v>9</v>
      </c>
      <c r="B160" s="120"/>
      <c r="C160" s="458" t="s">
        <v>303</v>
      </c>
      <c r="D160" s="458"/>
      <c r="E160" s="458"/>
      <c r="F160" s="458"/>
      <c r="G160" s="458"/>
      <c r="H160" s="458"/>
      <c r="I160" s="120"/>
      <c r="J160" s="121"/>
    </row>
    <row r="161" spans="1:15" x14ac:dyDescent="0.25">
      <c r="A161" s="463" t="s">
        <v>302</v>
      </c>
      <c r="B161" s="464"/>
      <c r="C161" s="464"/>
      <c r="D161" s="464"/>
      <c r="E161" s="464"/>
      <c r="F161" s="464"/>
      <c r="G161" s="464"/>
      <c r="H161" s="464"/>
      <c r="I161" s="464"/>
      <c r="J161" s="465"/>
      <c r="K161" s="456"/>
      <c r="L161" s="456"/>
      <c r="M161" s="456"/>
      <c r="N161" s="456"/>
      <c r="O161" s="456"/>
    </row>
    <row r="162" spans="1:15" ht="17.25" customHeight="1" thickBot="1" x14ac:dyDescent="0.3">
      <c r="A162" s="461"/>
      <c r="B162" s="456"/>
      <c r="C162" s="456"/>
      <c r="D162" s="456"/>
      <c r="E162" s="456"/>
      <c r="F162" s="456"/>
      <c r="G162" s="456"/>
      <c r="H162" s="456"/>
      <c r="I162" s="456"/>
      <c r="J162" s="462"/>
    </row>
    <row r="163" spans="1:15" ht="15.75" thickBot="1" x14ac:dyDescent="0.3">
      <c r="A163" s="119">
        <v>10</v>
      </c>
      <c r="B163" s="120"/>
      <c r="C163" s="458" t="str">
        <f>Orçamento!$D$160</f>
        <v>SISTEMA PCI</v>
      </c>
      <c r="D163" s="458"/>
      <c r="E163" s="458"/>
      <c r="F163" s="458"/>
      <c r="G163" s="458"/>
      <c r="H163" s="458"/>
      <c r="I163" s="120"/>
      <c r="J163" s="121"/>
    </row>
    <row r="164" spans="1:15" x14ac:dyDescent="0.25">
      <c r="A164" s="103" t="str">
        <f>Orçamento!$A$161</f>
        <v>10.1</v>
      </c>
      <c r="B164" s="117"/>
      <c r="C164" s="460" t="str">
        <f>Orçamento!$D$161</f>
        <v>REMOÇÃO DE DETECTOR DE FUMAÇA</v>
      </c>
      <c r="D164" s="460"/>
      <c r="E164" s="460"/>
      <c r="F164" s="460"/>
      <c r="G164" s="460"/>
      <c r="H164" s="460"/>
      <c r="I164" s="104" t="s">
        <v>300</v>
      </c>
      <c r="J164" s="106">
        <f>SUM(J165:J168)</f>
        <v>10</v>
      </c>
    </row>
    <row r="165" spans="1:15" x14ac:dyDescent="0.25">
      <c r="A165" s="101"/>
      <c r="C165" s="454" t="s">
        <v>318</v>
      </c>
      <c r="D165" s="454"/>
      <c r="E165" s="454"/>
      <c r="F165" s="454"/>
      <c r="G165" s="454"/>
      <c r="H165" s="454"/>
      <c r="I165" s="30" t="s">
        <v>300</v>
      </c>
      <c r="J165" s="113">
        <v>2</v>
      </c>
    </row>
    <row r="166" spans="1:15" x14ac:dyDescent="0.25">
      <c r="A166" s="101"/>
      <c r="C166" s="454" t="s">
        <v>306</v>
      </c>
      <c r="D166" s="454"/>
      <c r="E166" s="454"/>
      <c r="F166" s="454"/>
      <c r="G166" s="454"/>
      <c r="H166" s="454"/>
      <c r="I166" s="30" t="s">
        <v>300</v>
      </c>
      <c r="J166" s="113">
        <v>2</v>
      </c>
    </row>
    <row r="167" spans="1:15" x14ac:dyDescent="0.25">
      <c r="A167" s="101"/>
      <c r="C167" s="454" t="s">
        <v>308</v>
      </c>
      <c r="D167" s="454"/>
      <c r="E167" s="454"/>
      <c r="F167" s="454"/>
      <c r="G167" s="454"/>
      <c r="H167" s="454"/>
      <c r="I167" s="30" t="s">
        <v>300</v>
      </c>
      <c r="J167" s="113">
        <v>2</v>
      </c>
    </row>
    <row r="168" spans="1:15" x14ac:dyDescent="0.25">
      <c r="A168" s="101"/>
      <c r="C168" s="456" t="s">
        <v>314</v>
      </c>
      <c r="D168" s="456"/>
      <c r="E168" s="456"/>
      <c r="F168" s="456"/>
      <c r="G168" s="456"/>
      <c r="H168" s="456"/>
      <c r="I168" s="30" t="s">
        <v>300</v>
      </c>
      <c r="J168" s="113">
        <v>4</v>
      </c>
    </row>
    <row r="169" spans="1:15" x14ac:dyDescent="0.25">
      <c r="A169" s="101"/>
      <c r="C169" s="454"/>
      <c r="D169" s="454"/>
      <c r="E169" s="454"/>
      <c r="F169" s="454"/>
      <c r="G169" s="454"/>
      <c r="H169" s="454"/>
      <c r="J169" s="113"/>
    </row>
    <row r="170" spans="1:15" x14ac:dyDescent="0.25">
      <c r="A170" s="103" t="str">
        <f>Orçamento!A162</f>
        <v>10.2</v>
      </c>
      <c r="B170" s="117"/>
      <c r="C170" s="460" t="str">
        <f>Orçamento!D162</f>
        <v>REINSTALAÇÃO DE DETECTOR DE FUMAÇA</v>
      </c>
      <c r="D170" s="460"/>
      <c r="E170" s="460"/>
      <c r="F170" s="460"/>
      <c r="G170" s="460"/>
      <c r="H170" s="460"/>
      <c r="I170" s="104" t="s">
        <v>300</v>
      </c>
      <c r="J170" s="106">
        <f>SUM(J171:J174)</f>
        <v>10</v>
      </c>
    </row>
    <row r="171" spans="1:15" x14ac:dyDescent="0.25">
      <c r="A171" s="101"/>
      <c r="C171" s="454" t="s">
        <v>318</v>
      </c>
      <c r="D171" s="454"/>
      <c r="E171" s="454"/>
      <c r="F171" s="454"/>
      <c r="G171" s="454"/>
      <c r="H171" s="454"/>
      <c r="I171" s="30" t="s">
        <v>300</v>
      </c>
      <c r="J171" s="113">
        <v>2</v>
      </c>
    </row>
    <row r="172" spans="1:15" x14ac:dyDescent="0.25">
      <c r="A172" s="101"/>
      <c r="C172" s="454" t="s">
        <v>306</v>
      </c>
      <c r="D172" s="454"/>
      <c r="E172" s="454"/>
      <c r="F172" s="454"/>
      <c r="G172" s="454"/>
      <c r="H172" s="454"/>
      <c r="I172" s="30" t="s">
        <v>300</v>
      </c>
      <c r="J172" s="113">
        <v>2</v>
      </c>
    </row>
    <row r="173" spans="1:15" x14ac:dyDescent="0.25">
      <c r="A173" s="101"/>
      <c r="C173" s="454" t="s">
        <v>308</v>
      </c>
      <c r="D173" s="454"/>
      <c r="E173" s="454"/>
      <c r="F173" s="454"/>
      <c r="G173" s="454"/>
      <c r="H173" s="454"/>
      <c r="I173" s="30" t="s">
        <v>300</v>
      </c>
      <c r="J173" s="113">
        <v>2</v>
      </c>
    </row>
    <row r="174" spans="1:15" x14ac:dyDescent="0.25">
      <c r="A174" s="101"/>
      <c r="C174" s="456" t="s">
        <v>314</v>
      </c>
      <c r="D174" s="456"/>
      <c r="E174" s="456"/>
      <c r="F174" s="456"/>
      <c r="G174" s="456"/>
      <c r="H174" s="456"/>
      <c r="I174" s="30" t="s">
        <v>300</v>
      </c>
      <c r="J174" s="113">
        <v>4</v>
      </c>
    </row>
    <row r="175" spans="1:15" x14ac:dyDescent="0.25">
      <c r="A175" s="101"/>
      <c r="C175" s="454"/>
      <c r="D175" s="454"/>
      <c r="E175" s="454"/>
      <c r="F175" s="454"/>
      <c r="G175" s="454"/>
      <c r="H175" s="454"/>
      <c r="J175" s="113"/>
    </row>
    <row r="176" spans="1:15" x14ac:dyDescent="0.25">
      <c r="A176" s="103" t="str">
        <f>Orçamento!$A$163</f>
        <v>10.3</v>
      </c>
      <c r="B176" s="117"/>
      <c r="C176" s="460" t="str">
        <f>Orçamento!$D$163</f>
        <v xml:space="preserve"> LUMINÁRIA DE EMERGÊNCIA AUTÔNOMA, TIPO LED POTÊNCIA TOTAL DE 2W, FORNECIMENTO E INSTALAÇÃO</v>
      </c>
      <c r="D176" s="460"/>
      <c r="E176" s="460"/>
      <c r="F176" s="460"/>
      <c r="G176" s="460"/>
      <c r="H176" s="460"/>
      <c r="I176" s="104" t="s">
        <v>300</v>
      </c>
      <c r="J176" s="106">
        <f>SUM(J177:J180)</f>
        <v>10</v>
      </c>
    </row>
    <row r="177" spans="1:15" x14ac:dyDescent="0.25">
      <c r="A177" s="101"/>
      <c r="C177" s="454" t="s">
        <v>318</v>
      </c>
      <c r="D177" s="454"/>
      <c r="E177" s="454"/>
      <c r="F177" s="454"/>
      <c r="G177" s="454"/>
      <c r="H177" s="454"/>
      <c r="I177" s="30" t="s">
        <v>300</v>
      </c>
      <c r="J177" s="113">
        <v>2</v>
      </c>
    </row>
    <row r="178" spans="1:15" x14ac:dyDescent="0.25">
      <c r="A178" s="101"/>
      <c r="C178" s="454" t="s">
        <v>306</v>
      </c>
      <c r="D178" s="454"/>
      <c r="E178" s="454"/>
      <c r="F178" s="454"/>
      <c r="G178" s="454"/>
      <c r="H178" s="454"/>
      <c r="I178" s="30" t="s">
        <v>300</v>
      </c>
      <c r="J178" s="113">
        <v>2</v>
      </c>
    </row>
    <row r="179" spans="1:15" x14ac:dyDescent="0.25">
      <c r="A179" s="101"/>
      <c r="C179" s="454" t="s">
        <v>308</v>
      </c>
      <c r="D179" s="454"/>
      <c r="E179" s="454"/>
      <c r="F179" s="454"/>
      <c r="G179" s="454"/>
      <c r="H179" s="454"/>
      <c r="I179" s="30" t="s">
        <v>300</v>
      </c>
      <c r="J179" s="113">
        <v>2</v>
      </c>
    </row>
    <row r="180" spans="1:15" x14ac:dyDescent="0.25">
      <c r="A180" s="101"/>
      <c r="C180" s="456" t="s">
        <v>314</v>
      </c>
      <c r="D180" s="456"/>
      <c r="E180" s="456"/>
      <c r="F180" s="456"/>
      <c r="G180" s="456"/>
      <c r="H180" s="456"/>
      <c r="I180" s="30" t="s">
        <v>300</v>
      </c>
      <c r="J180" s="113">
        <v>4</v>
      </c>
    </row>
    <row r="181" spans="1:15" ht="15.75" thickBot="1" x14ac:dyDescent="0.3">
      <c r="A181" s="101"/>
      <c r="C181" s="454"/>
      <c r="D181" s="454"/>
      <c r="E181" s="454"/>
      <c r="F181" s="454"/>
      <c r="G181" s="454"/>
      <c r="H181" s="454"/>
      <c r="J181" s="113"/>
    </row>
    <row r="182" spans="1:15" s="104" customFormat="1" ht="15.75" thickBot="1" x14ac:dyDescent="0.3">
      <c r="A182" s="119">
        <v>11</v>
      </c>
      <c r="B182" s="120"/>
      <c r="C182" s="458" t="s">
        <v>183</v>
      </c>
      <c r="D182" s="458"/>
      <c r="E182" s="458"/>
      <c r="F182" s="458"/>
      <c r="G182" s="458"/>
      <c r="H182" s="458"/>
      <c r="I182" s="120"/>
      <c r="J182" s="121"/>
    </row>
    <row r="183" spans="1:15" x14ac:dyDescent="0.25">
      <c r="A183" s="463" t="s">
        <v>302</v>
      </c>
      <c r="B183" s="464"/>
      <c r="C183" s="464"/>
      <c r="D183" s="464"/>
      <c r="E183" s="464"/>
      <c r="F183" s="464"/>
      <c r="G183" s="464"/>
      <c r="H183" s="464"/>
      <c r="I183" s="464"/>
      <c r="J183" s="465"/>
      <c r="K183" s="456"/>
      <c r="L183" s="456"/>
      <c r="M183" s="456"/>
      <c r="N183" s="456"/>
      <c r="O183" s="456"/>
    </row>
    <row r="184" spans="1:15" ht="17.25" customHeight="1" thickBot="1" x14ac:dyDescent="0.3">
      <c r="A184" s="461"/>
      <c r="B184" s="456"/>
      <c r="C184" s="456"/>
      <c r="D184" s="456"/>
      <c r="E184" s="456"/>
      <c r="F184" s="456"/>
      <c r="G184" s="456"/>
      <c r="H184" s="456"/>
      <c r="I184" s="456"/>
      <c r="J184" s="462"/>
    </row>
    <row r="185" spans="1:15" s="104" customFormat="1" ht="15.75" thickBot="1" x14ac:dyDescent="0.3">
      <c r="A185" s="119">
        <v>12</v>
      </c>
      <c r="B185" s="120" t="s">
        <v>10</v>
      </c>
      <c r="C185" s="458" t="s">
        <v>25</v>
      </c>
      <c r="D185" s="458"/>
      <c r="E185" s="458"/>
      <c r="F185" s="458"/>
      <c r="G185" s="458"/>
      <c r="H185" s="458"/>
      <c r="I185" s="120"/>
      <c r="J185" s="121"/>
    </row>
    <row r="186" spans="1:15" x14ac:dyDescent="0.25">
      <c r="A186" s="103" t="str">
        <f>Orçamento!A183</f>
        <v>12.1</v>
      </c>
      <c r="B186" s="117"/>
      <c r="C186" s="460" t="str">
        <f>Orçamento!$D$183</f>
        <v>P03: REINSTALAÇÃO DE PORTA EXISTENTE</v>
      </c>
      <c r="D186" s="460"/>
      <c r="E186" s="460"/>
      <c r="F186" s="460"/>
      <c r="G186" s="460"/>
      <c r="H186" s="460"/>
      <c r="I186" s="117" t="s">
        <v>6</v>
      </c>
      <c r="J186" s="106">
        <f>SUM(J187:J188)</f>
        <v>1</v>
      </c>
    </row>
    <row r="187" spans="1:15" x14ac:dyDescent="0.25">
      <c r="A187" s="101"/>
      <c r="C187" s="456" t="s">
        <v>318</v>
      </c>
      <c r="D187" s="456"/>
      <c r="E187" s="456"/>
      <c r="F187" s="456"/>
      <c r="G187" s="456"/>
      <c r="H187" s="456"/>
      <c r="I187" s="33" t="s">
        <v>6</v>
      </c>
      <c r="J187" s="112">
        <v>1</v>
      </c>
    </row>
    <row r="188" spans="1:15" x14ac:dyDescent="0.25">
      <c r="A188" s="101"/>
      <c r="C188" s="456"/>
      <c r="D188" s="456"/>
      <c r="E188" s="456"/>
      <c r="F188" s="456"/>
      <c r="G188" s="456"/>
      <c r="H188" s="456"/>
      <c r="I188" s="33"/>
      <c r="J188" s="112"/>
    </row>
    <row r="189" spans="1:15" ht="44.25" customHeight="1" x14ac:dyDescent="0.25">
      <c r="A189" s="103" t="str">
        <f>Orçamento!A184</f>
        <v>12.2</v>
      </c>
      <c r="B189" s="117"/>
      <c r="C189" s="460" t="str">
        <f>Orçamento!$D$184</f>
        <v>DV01: CONJUNTO DE DIVISÓRIA PISO TETO COM 90MM DE ESPESSURA, E VIDRO DUPLO 8MM TEMPERADO. ESTRUTURA EM QUADROS PARA VIDRO DUPLO EM 100% ALUMÍNIO COM ACABAMENTO ANODIZADO NA COR PRETO.</v>
      </c>
      <c r="D189" s="460"/>
      <c r="E189" s="460"/>
      <c r="F189" s="460"/>
      <c r="G189" s="460"/>
      <c r="H189" s="460"/>
      <c r="I189" s="117" t="s">
        <v>6</v>
      </c>
      <c r="J189" s="106">
        <f>SUM(J190:J191)</f>
        <v>1</v>
      </c>
    </row>
    <row r="190" spans="1:15" x14ac:dyDescent="0.25">
      <c r="A190" s="101"/>
      <c r="C190" s="456" t="s">
        <v>304</v>
      </c>
      <c r="D190" s="456"/>
      <c r="E190" s="456"/>
      <c r="F190" s="456"/>
      <c r="G190" s="456"/>
      <c r="H190" s="456"/>
      <c r="I190" s="33" t="s">
        <v>6</v>
      </c>
      <c r="J190" s="112">
        <v>1</v>
      </c>
    </row>
    <row r="191" spans="1:15" x14ac:dyDescent="0.25">
      <c r="A191" s="101"/>
      <c r="C191" s="456"/>
      <c r="D191" s="456"/>
      <c r="E191" s="456"/>
      <c r="F191" s="456"/>
      <c r="G191" s="456"/>
      <c r="H191" s="456"/>
      <c r="I191" s="33"/>
      <c r="J191" s="112"/>
    </row>
    <row r="192" spans="1:15" ht="64.5" customHeight="1" x14ac:dyDescent="0.25">
      <c r="A192" s="103" t="str">
        <f>Orçamento!A185</f>
        <v>12.3</v>
      </c>
      <c r="B192" s="117"/>
      <c r="C192" s="460" t="str">
        <f>Orçamento!$D$185</f>
        <v>DV02: DIVISÓRIA PISO TETO COM 90MM DE ESPESSURA, E VIDRO DUPLO 8MM TEMPERADO, COM PERSIANAS ENTRE VIDROS COR PRETO. ESTRUTURA EM QUADROS PARA VIDRO DUPLO EM 100% ALUMÍNIO COM ACABAMENTO ANODIZADO NA COR PRETO.</v>
      </c>
      <c r="D192" s="460"/>
      <c r="E192" s="460"/>
      <c r="F192" s="460"/>
      <c r="G192" s="460"/>
      <c r="H192" s="460"/>
      <c r="I192" s="117" t="s">
        <v>6</v>
      </c>
      <c r="J192" s="106">
        <f>SUM(J193:J194)</f>
        <v>1</v>
      </c>
    </row>
    <row r="193" spans="1:10" x14ac:dyDescent="0.25">
      <c r="A193" s="101"/>
      <c r="C193" s="456" t="s">
        <v>304</v>
      </c>
      <c r="D193" s="456"/>
      <c r="E193" s="456"/>
      <c r="F193" s="456"/>
      <c r="G193" s="456"/>
      <c r="H193" s="456"/>
      <c r="I193" s="33" t="s">
        <v>6</v>
      </c>
      <c r="J193" s="112">
        <v>1</v>
      </c>
    </row>
    <row r="194" spans="1:10" x14ac:dyDescent="0.25">
      <c r="A194" s="101"/>
      <c r="C194" s="456"/>
      <c r="D194" s="456"/>
      <c r="E194" s="456"/>
      <c r="F194" s="456"/>
      <c r="G194" s="456"/>
      <c r="H194" s="456"/>
      <c r="I194" s="33"/>
      <c r="J194" s="112"/>
    </row>
    <row r="195" spans="1:10" ht="63" customHeight="1" x14ac:dyDescent="0.25">
      <c r="A195" s="103" t="str">
        <f>Orçamento!A186</f>
        <v>12.4</v>
      </c>
      <c r="B195" s="117"/>
      <c r="C195" s="460" t="str">
        <f>Orçamento!$D$186</f>
        <v>P01: PORTA PARA DIVISÓRIA COM VIDRO DUPLO 6MM TEMPERADO, COM PERSIANAS ENTRE VIDROS COR PRETO. ESTRUTURA EM ALUMÍNIO COM ACABAMENTO ANODIZADO NA COR PRETO. FECHADURA PARA PORTA 517 TUBULAR INOX INTERNO ST2 55 ROS 357 INOX PRETO FOSCO. FAB. LA FONTE OU EQUIVALENTE</v>
      </c>
      <c r="D195" s="460"/>
      <c r="E195" s="460"/>
      <c r="F195" s="460"/>
      <c r="G195" s="460"/>
      <c r="H195" s="460"/>
      <c r="I195" s="117" t="s">
        <v>6</v>
      </c>
      <c r="J195" s="106">
        <f>SUM(J196:J197)</f>
        <v>1</v>
      </c>
    </row>
    <row r="196" spans="1:10" x14ac:dyDescent="0.25">
      <c r="A196" s="101"/>
      <c r="C196" s="456" t="s">
        <v>304</v>
      </c>
      <c r="D196" s="456"/>
      <c r="E196" s="456"/>
      <c r="F196" s="456"/>
      <c r="G196" s="456"/>
      <c r="H196" s="456"/>
      <c r="I196" s="33" t="s">
        <v>6</v>
      </c>
      <c r="J196" s="112">
        <v>1</v>
      </c>
    </row>
    <row r="197" spans="1:10" x14ac:dyDescent="0.25">
      <c r="A197" s="101"/>
      <c r="C197" s="456"/>
      <c r="D197" s="456"/>
      <c r="E197" s="456"/>
      <c r="F197" s="456"/>
      <c r="G197" s="456"/>
      <c r="H197" s="456"/>
      <c r="I197" s="33"/>
      <c r="J197" s="112"/>
    </row>
    <row r="198" spans="1:10" ht="66" customHeight="1" x14ac:dyDescent="0.25">
      <c r="A198" s="103" t="str">
        <f>Orçamento!A187</f>
        <v>12.5</v>
      </c>
      <c r="B198" s="117"/>
      <c r="C198" s="460" t="str">
        <f>Orçamento!$D$187</f>
        <v>P02: PORTA PARA DIVISÓRIA COM VIDRO DUPLO 6MM TEMPERADO. ESTRUTURA EM  ALUMÍNIO COM ACABAMENTO ANODIZADO NA COR PRETO. FECHADURA PARA
PORTA 517 TUBULAR INOX INTERNO ST2 55 ROS 357 INOX PRETO FOSCO. FAB.
LA FONTE OU EQUIVALENTE.</v>
      </c>
      <c r="D198" s="460"/>
      <c r="E198" s="460"/>
      <c r="F198" s="460"/>
      <c r="G198" s="460"/>
      <c r="H198" s="460"/>
      <c r="I198" s="117" t="s">
        <v>6</v>
      </c>
      <c r="J198" s="106">
        <f>SUM(J199:J200)</f>
        <v>1</v>
      </c>
    </row>
    <row r="199" spans="1:10" x14ac:dyDescent="0.25">
      <c r="A199" s="101"/>
      <c r="C199" s="456" t="s">
        <v>304</v>
      </c>
      <c r="D199" s="456"/>
      <c r="E199" s="456"/>
      <c r="F199" s="456"/>
      <c r="G199" s="456"/>
      <c r="H199" s="456"/>
      <c r="I199" s="33" t="s">
        <v>6</v>
      </c>
      <c r="J199" s="112">
        <v>1</v>
      </c>
    </row>
    <row r="200" spans="1:10" ht="15.75" thickBot="1" x14ac:dyDescent="0.3">
      <c r="A200" s="101"/>
      <c r="C200" s="456"/>
      <c r="D200" s="456"/>
      <c r="E200" s="456"/>
      <c r="F200" s="456"/>
      <c r="G200" s="456"/>
      <c r="H200" s="456"/>
      <c r="I200" s="33"/>
      <c r="J200" s="112"/>
    </row>
    <row r="201" spans="1:10" s="104" customFormat="1" ht="15.75" thickBot="1" x14ac:dyDescent="0.3">
      <c r="A201" s="119">
        <v>13</v>
      </c>
      <c r="B201" s="120" t="s">
        <v>10</v>
      </c>
      <c r="C201" s="458" t="s">
        <v>26</v>
      </c>
      <c r="D201" s="458"/>
      <c r="E201" s="458"/>
      <c r="F201" s="458"/>
      <c r="G201" s="458"/>
      <c r="H201" s="458"/>
      <c r="I201" s="120"/>
      <c r="J201" s="121"/>
    </row>
    <row r="202" spans="1:10" ht="15" customHeight="1" x14ac:dyDescent="0.25">
      <c r="A202" s="103" t="s">
        <v>100</v>
      </c>
      <c r="B202" s="117" t="s">
        <v>8</v>
      </c>
      <c r="C202" s="460" t="s">
        <v>30</v>
      </c>
      <c r="D202" s="460"/>
      <c r="E202" s="460"/>
      <c r="F202" s="460"/>
      <c r="G202" s="460"/>
      <c r="H202" s="460"/>
      <c r="I202" s="104" t="s">
        <v>7</v>
      </c>
      <c r="J202" s="111">
        <f>SUM(J203:J207)</f>
        <v>129.53829999999999</v>
      </c>
    </row>
    <row r="203" spans="1:10" x14ac:dyDescent="0.25">
      <c r="A203" s="101"/>
      <c r="C203" s="456" t="s">
        <v>308</v>
      </c>
      <c r="D203" s="456"/>
      <c r="E203" s="456"/>
      <c r="F203" s="456"/>
      <c r="G203" s="456"/>
      <c r="H203" s="456"/>
      <c r="I203" s="30" t="s">
        <v>7</v>
      </c>
      <c r="J203" s="113">
        <f>5.09*0.1</f>
        <v>0.50900000000000001</v>
      </c>
    </row>
    <row r="204" spans="1:10" x14ac:dyDescent="0.25">
      <c r="A204" s="101"/>
      <c r="C204" s="456" t="s">
        <v>309</v>
      </c>
      <c r="D204" s="456"/>
      <c r="E204" s="456"/>
      <c r="F204" s="456"/>
      <c r="G204" s="456"/>
      <c r="H204" s="456"/>
      <c r="I204" s="30" t="s">
        <v>7</v>
      </c>
      <c r="J204" s="113">
        <f>1.9*0.15+41.96</f>
        <v>42.244999999999997</v>
      </c>
    </row>
    <row r="205" spans="1:10" x14ac:dyDescent="0.25">
      <c r="A205" s="101"/>
      <c r="C205" s="456" t="s">
        <v>310</v>
      </c>
      <c r="D205" s="456"/>
      <c r="E205" s="456"/>
      <c r="F205" s="456"/>
      <c r="G205" s="456"/>
      <c r="H205" s="456"/>
      <c r="I205" s="30" t="s">
        <v>7</v>
      </c>
      <c r="J205" s="113">
        <f>5.71*0.13</f>
        <v>0.74230000000000007</v>
      </c>
    </row>
    <row r="206" spans="1:10" x14ac:dyDescent="0.25">
      <c r="A206" s="101"/>
      <c r="C206" s="456" t="s">
        <v>311</v>
      </c>
      <c r="D206" s="456"/>
      <c r="E206" s="456"/>
      <c r="F206" s="456"/>
      <c r="G206" s="456"/>
      <c r="H206" s="456"/>
      <c r="I206" s="30" t="s">
        <v>7</v>
      </c>
      <c r="J206" s="113">
        <f>4.45*0.16</f>
        <v>0.71200000000000008</v>
      </c>
    </row>
    <row r="207" spans="1:10" x14ac:dyDescent="0.25">
      <c r="A207" s="101"/>
      <c r="C207" s="456" t="s">
        <v>314</v>
      </c>
      <c r="D207" s="456"/>
      <c r="E207" s="456"/>
      <c r="F207" s="456"/>
      <c r="G207" s="456"/>
      <c r="H207" s="456"/>
      <c r="I207" s="30" t="s">
        <v>7</v>
      </c>
      <c r="J207" s="113">
        <v>85.33</v>
      </c>
    </row>
    <row r="208" spans="1:10" x14ac:dyDescent="0.25">
      <c r="A208" s="101"/>
      <c r="C208" s="454"/>
      <c r="D208" s="454"/>
      <c r="E208" s="454"/>
      <c r="F208" s="454"/>
      <c r="G208" s="454"/>
      <c r="H208" s="454"/>
      <c r="J208" s="113"/>
    </row>
    <row r="209" spans="1:10" ht="15" customHeight="1" x14ac:dyDescent="0.25">
      <c r="A209" s="103" t="s">
        <v>101</v>
      </c>
      <c r="B209" s="117" t="s">
        <v>8</v>
      </c>
      <c r="C209" s="460" t="s">
        <v>29</v>
      </c>
      <c r="D209" s="460"/>
      <c r="E209" s="460"/>
      <c r="F209" s="460"/>
      <c r="G209" s="460"/>
      <c r="H209" s="460"/>
      <c r="I209" s="104" t="s">
        <v>7</v>
      </c>
      <c r="J209" s="111">
        <f>SUM(J210:J213)</f>
        <v>218.27</v>
      </c>
    </row>
    <row r="210" spans="1:10" x14ac:dyDescent="0.25">
      <c r="A210" s="101"/>
      <c r="C210" s="454" t="s">
        <v>306</v>
      </c>
      <c r="D210" s="454"/>
      <c r="E210" s="454"/>
      <c r="F210" s="454"/>
      <c r="G210" s="454"/>
      <c r="H210" s="454"/>
      <c r="I210" s="30" t="s">
        <v>7</v>
      </c>
      <c r="J210" s="113">
        <f>(5.48*2+8.24*2+1.11*2)*2.5+(2.55+3+3.15+2.7)*0.3</f>
        <v>77.570000000000007</v>
      </c>
    </row>
    <row r="211" spans="1:10" x14ac:dyDescent="0.25">
      <c r="A211" s="101"/>
      <c r="C211" s="454" t="s">
        <v>308</v>
      </c>
      <c r="D211" s="454"/>
      <c r="E211" s="454"/>
      <c r="F211" s="454"/>
      <c r="G211" s="454"/>
      <c r="H211" s="454"/>
      <c r="I211" s="30" t="s">
        <v>7</v>
      </c>
      <c r="J211" s="113">
        <f>(6.94*2+5.11*2)*2.5</f>
        <v>60.25</v>
      </c>
    </row>
    <row r="212" spans="1:10" x14ac:dyDescent="0.25">
      <c r="A212" s="101"/>
      <c r="C212" s="454" t="s">
        <v>318</v>
      </c>
      <c r="D212" s="454"/>
      <c r="E212" s="454"/>
      <c r="F212" s="454"/>
      <c r="G212" s="454"/>
      <c r="H212" s="454"/>
      <c r="I212" s="30" t="s">
        <v>7</v>
      </c>
      <c r="J212" s="113">
        <f>(4.48*2+8.24*2+1.4*2+0.6*2)*2.5</f>
        <v>73.600000000000009</v>
      </c>
    </row>
    <row r="213" spans="1:10" x14ac:dyDescent="0.25">
      <c r="A213" s="101"/>
      <c r="C213" s="456" t="s">
        <v>780</v>
      </c>
      <c r="D213" s="456"/>
      <c r="E213" s="456"/>
      <c r="F213" s="456"/>
      <c r="G213" s="456"/>
      <c r="H213" s="456"/>
      <c r="I213" s="30" t="s">
        <v>7</v>
      </c>
      <c r="J213" s="113">
        <f>(2.74)*2.5</f>
        <v>6.8500000000000005</v>
      </c>
    </row>
    <row r="214" spans="1:10" x14ac:dyDescent="0.25">
      <c r="A214" s="101"/>
      <c r="C214" s="454"/>
      <c r="D214" s="454"/>
      <c r="E214" s="454"/>
      <c r="F214" s="454"/>
      <c r="G214" s="454"/>
      <c r="H214" s="454"/>
      <c r="J214" s="113"/>
    </row>
    <row r="215" spans="1:10" ht="15" customHeight="1" x14ac:dyDescent="0.25">
      <c r="A215" s="103" t="s">
        <v>102</v>
      </c>
      <c r="B215" s="117" t="s">
        <v>8</v>
      </c>
      <c r="C215" s="460" t="s">
        <v>32</v>
      </c>
      <c r="D215" s="460"/>
      <c r="E215" s="460"/>
      <c r="F215" s="460"/>
      <c r="G215" s="460"/>
      <c r="H215" s="460"/>
      <c r="I215" s="104" t="s">
        <v>7</v>
      </c>
      <c r="J215" s="111">
        <f>SUM(J216:J221)</f>
        <v>129.53829999999999</v>
      </c>
    </row>
    <row r="216" spans="1:10" x14ac:dyDescent="0.25">
      <c r="A216" s="101"/>
      <c r="C216" s="456" t="s">
        <v>308</v>
      </c>
      <c r="D216" s="456"/>
      <c r="E216" s="456"/>
      <c r="F216" s="456"/>
      <c r="G216" s="456"/>
      <c r="H216" s="456"/>
      <c r="I216" s="30" t="s">
        <v>7</v>
      </c>
      <c r="J216" s="113">
        <f>5.09*0.1</f>
        <v>0.50900000000000001</v>
      </c>
    </row>
    <row r="217" spans="1:10" x14ac:dyDescent="0.25">
      <c r="A217" s="101"/>
      <c r="C217" s="456" t="s">
        <v>309</v>
      </c>
      <c r="D217" s="456"/>
      <c r="E217" s="456"/>
      <c r="F217" s="456"/>
      <c r="G217" s="456"/>
      <c r="H217" s="456"/>
      <c r="I217" s="30" t="s">
        <v>7</v>
      </c>
      <c r="J217" s="113">
        <f>1.9*0.15+41.96</f>
        <v>42.244999999999997</v>
      </c>
    </row>
    <row r="218" spans="1:10" x14ac:dyDescent="0.25">
      <c r="A218" s="101"/>
      <c r="C218" s="456" t="s">
        <v>310</v>
      </c>
      <c r="D218" s="456"/>
      <c r="E218" s="456"/>
      <c r="F218" s="456"/>
      <c r="G218" s="456"/>
      <c r="H218" s="456"/>
      <c r="I218" s="30" t="s">
        <v>7</v>
      </c>
      <c r="J218" s="113">
        <f>5.71*0.13</f>
        <v>0.74230000000000007</v>
      </c>
    </row>
    <row r="219" spans="1:10" x14ac:dyDescent="0.25">
      <c r="A219" s="101"/>
      <c r="C219" s="456" t="s">
        <v>311</v>
      </c>
      <c r="D219" s="456"/>
      <c r="E219" s="456"/>
      <c r="F219" s="456"/>
      <c r="G219" s="456"/>
      <c r="H219" s="456"/>
      <c r="I219" s="30" t="s">
        <v>7</v>
      </c>
      <c r="J219" s="113">
        <f>4.45*0.16</f>
        <v>0.71200000000000008</v>
      </c>
    </row>
    <row r="220" spans="1:10" x14ac:dyDescent="0.25">
      <c r="A220" s="101"/>
      <c r="C220" s="456" t="s">
        <v>314</v>
      </c>
      <c r="D220" s="456"/>
      <c r="E220" s="456"/>
      <c r="F220" s="456"/>
      <c r="G220" s="456"/>
      <c r="H220" s="456"/>
      <c r="I220" s="30" t="s">
        <v>7</v>
      </c>
      <c r="J220" s="113">
        <v>85.33</v>
      </c>
    </row>
    <row r="221" spans="1:10" x14ac:dyDescent="0.25">
      <c r="A221" s="101"/>
      <c r="C221" s="454"/>
      <c r="D221" s="454"/>
      <c r="E221" s="454"/>
      <c r="F221" s="454"/>
      <c r="G221" s="454"/>
      <c r="H221" s="454"/>
      <c r="J221" s="113"/>
    </row>
    <row r="222" spans="1:10" ht="15" customHeight="1" x14ac:dyDescent="0.25">
      <c r="A222" s="103" t="s">
        <v>103</v>
      </c>
      <c r="B222" s="117" t="s">
        <v>8</v>
      </c>
      <c r="C222" s="460" t="s">
        <v>33</v>
      </c>
      <c r="D222" s="460"/>
      <c r="E222" s="460"/>
      <c r="F222" s="460"/>
      <c r="G222" s="460"/>
      <c r="H222" s="460"/>
      <c r="I222" s="104" t="s">
        <v>7</v>
      </c>
      <c r="J222" s="111">
        <f>SUM(J223:J230)</f>
        <v>372.48</v>
      </c>
    </row>
    <row r="223" spans="1:10" x14ac:dyDescent="0.25">
      <c r="A223" s="101"/>
      <c r="C223" s="454" t="s">
        <v>306</v>
      </c>
      <c r="D223" s="454"/>
      <c r="E223" s="454"/>
      <c r="F223" s="454"/>
      <c r="G223" s="454"/>
      <c r="H223" s="454"/>
      <c r="I223" s="30" t="s">
        <v>7</v>
      </c>
      <c r="J223" s="113">
        <f>(5.48*2+8.24*2+1.11*2)*2.5+(2.55+3+3.15+2.7)*0.3</f>
        <v>77.570000000000007</v>
      </c>
    </row>
    <row r="224" spans="1:10" x14ac:dyDescent="0.25">
      <c r="A224" s="101"/>
      <c r="C224" s="454" t="s">
        <v>308</v>
      </c>
      <c r="D224" s="454"/>
      <c r="E224" s="454"/>
      <c r="F224" s="454"/>
      <c r="G224" s="454"/>
      <c r="H224" s="454"/>
      <c r="I224" s="30" t="s">
        <v>7</v>
      </c>
      <c r="J224" s="113">
        <f>(6.94*2+5.11*2)*2.5</f>
        <v>60.25</v>
      </c>
    </row>
    <row r="225" spans="1:11" x14ac:dyDescent="0.25">
      <c r="A225" s="101"/>
      <c r="C225" s="454" t="s">
        <v>318</v>
      </c>
      <c r="D225" s="454"/>
      <c r="E225" s="454"/>
      <c r="F225" s="454"/>
      <c r="G225" s="454"/>
      <c r="H225" s="454"/>
      <c r="I225" s="30" t="s">
        <v>7</v>
      </c>
      <c r="J225" s="113">
        <f>(4.48*2+8.24*2+1.4*2+0.6*2)*2.5</f>
        <v>73.600000000000009</v>
      </c>
    </row>
    <row r="226" spans="1:11" x14ac:dyDescent="0.25">
      <c r="A226" s="101"/>
      <c r="C226" s="456" t="s">
        <v>314</v>
      </c>
      <c r="D226" s="456"/>
      <c r="E226" s="456"/>
      <c r="F226" s="456"/>
      <c r="G226" s="456"/>
      <c r="H226" s="456"/>
      <c r="I226" s="30" t="s">
        <v>7</v>
      </c>
      <c r="J226" s="113">
        <f>(11.46*2+7.8*2+2.9*2)*2.5</f>
        <v>110.8</v>
      </c>
    </row>
    <row r="227" spans="1:11" x14ac:dyDescent="0.25">
      <c r="A227" s="101"/>
      <c r="C227" s="456"/>
      <c r="D227" s="456"/>
      <c r="E227" s="456"/>
      <c r="F227" s="456"/>
      <c r="G227" s="456"/>
      <c r="H227" s="456"/>
      <c r="J227" s="113"/>
    </row>
    <row r="228" spans="1:11" ht="15" customHeight="1" x14ac:dyDescent="0.25">
      <c r="A228" s="103" t="str">
        <f>Orçamento!$A$194</f>
        <v>13.5</v>
      </c>
      <c r="B228" s="117" t="str">
        <f>Orçamento!C$194</f>
        <v>SETOP</v>
      </c>
      <c r="C228" s="460" t="str">
        <f>Orçamento!$D$194</f>
        <v>PINTURA ESMALTE EM TUBO GALVANIZADO, DUAS (2) DEMÃOS, INCLUSIVE UMA (1) DEMÃO DE FUNDO ANTICORROSIVO</v>
      </c>
      <c r="D228" s="460"/>
      <c r="E228" s="460"/>
      <c r="F228" s="460"/>
      <c r="G228" s="460"/>
      <c r="H228" s="460"/>
      <c r="I228" s="104" t="str">
        <f>Orçamento!$E$194</f>
        <v>M</v>
      </c>
      <c r="J228" s="111">
        <f>J229</f>
        <v>25.130000000000003</v>
      </c>
    </row>
    <row r="229" spans="1:11" x14ac:dyDescent="0.25">
      <c r="A229" s="101"/>
      <c r="C229" s="454" t="s">
        <v>306</v>
      </c>
      <c r="D229" s="454"/>
      <c r="E229" s="454"/>
      <c r="F229" s="454"/>
      <c r="G229" s="454"/>
      <c r="H229" s="454"/>
      <c r="I229" s="30" t="s">
        <v>156</v>
      </c>
      <c r="J229" s="113">
        <f>8.46+7.14+1.49+0.89+1.7+2.42+1.46+1.57</f>
        <v>25.130000000000003</v>
      </c>
    </row>
    <row r="230" spans="1:11" ht="15.75" thickBot="1" x14ac:dyDescent="0.3">
      <c r="A230" s="101"/>
      <c r="C230" s="456"/>
      <c r="D230" s="456"/>
      <c r="E230" s="456"/>
      <c r="F230" s="456"/>
      <c r="G230" s="456"/>
      <c r="H230" s="456"/>
      <c r="J230" s="113"/>
      <c r="K230" s="104"/>
    </row>
    <row r="231" spans="1:11" s="104" customFormat="1" ht="15.75" thickBot="1" x14ac:dyDescent="0.3">
      <c r="A231" s="119">
        <v>14</v>
      </c>
      <c r="B231" s="120"/>
      <c r="C231" s="458" t="s">
        <v>189</v>
      </c>
      <c r="D231" s="458"/>
      <c r="E231" s="458"/>
      <c r="F231" s="458"/>
      <c r="G231" s="458"/>
      <c r="H231" s="458"/>
      <c r="I231" s="120"/>
      <c r="J231" s="121"/>
    </row>
    <row r="232" spans="1:11" ht="15" customHeight="1" x14ac:dyDescent="0.25">
      <c r="A232" s="103" t="s">
        <v>546</v>
      </c>
      <c r="B232" s="117" t="s">
        <v>176</v>
      </c>
      <c r="C232" s="460" t="s">
        <v>261</v>
      </c>
      <c r="D232" s="460"/>
      <c r="E232" s="460"/>
      <c r="F232" s="460"/>
      <c r="G232" s="460"/>
      <c r="H232" s="460"/>
      <c r="I232" s="104" t="s">
        <v>177</v>
      </c>
      <c r="J232" s="111">
        <f>SUM(J233:J233)</f>
        <v>1</v>
      </c>
    </row>
    <row r="233" spans="1:11" x14ac:dyDescent="0.25">
      <c r="A233" s="101"/>
      <c r="C233" s="456" t="s">
        <v>309</v>
      </c>
      <c r="D233" s="456"/>
      <c r="E233" s="456"/>
      <c r="F233" s="456"/>
      <c r="G233" s="456"/>
      <c r="H233" s="456"/>
      <c r="I233" s="30" t="s">
        <v>300</v>
      </c>
      <c r="J233" s="113">
        <v>1</v>
      </c>
    </row>
    <row r="234" spans="1:11" ht="15.75" thickBot="1" x14ac:dyDescent="0.3">
      <c r="A234" s="101"/>
      <c r="C234" s="454"/>
      <c r="D234" s="454"/>
      <c r="E234" s="454"/>
      <c r="F234" s="454"/>
      <c r="G234" s="454"/>
      <c r="H234" s="454"/>
      <c r="J234" s="113"/>
    </row>
    <row r="235" spans="1:11" s="104" customFormat="1" ht="15.75" thickBot="1" x14ac:dyDescent="0.3">
      <c r="A235" s="119">
        <v>15</v>
      </c>
      <c r="B235" s="120"/>
      <c r="C235" s="458" t="str">
        <f>Orçamento!$D$199</f>
        <v>CORTINAS E MOBILIÁRIOS</v>
      </c>
      <c r="D235" s="458"/>
      <c r="E235" s="458"/>
      <c r="F235" s="458"/>
      <c r="G235" s="458"/>
      <c r="H235" s="458"/>
      <c r="I235" s="120"/>
      <c r="J235" s="121"/>
    </row>
    <row r="236" spans="1:11" s="104" customFormat="1" x14ac:dyDescent="0.25">
      <c r="A236" s="105" t="str">
        <f>Orçamento!$A$200</f>
        <v>15.1</v>
      </c>
      <c r="C236" s="460" t="str">
        <f>Orçamento!$D$200</f>
        <v>REPOSICIONAR MOBILIÁRIO CONFORME NOVO LAYOUT</v>
      </c>
      <c r="D236" s="460"/>
      <c r="E236" s="460"/>
      <c r="F236" s="460"/>
      <c r="G236" s="460"/>
      <c r="H236" s="460"/>
      <c r="I236" s="104" t="s">
        <v>300</v>
      </c>
      <c r="J236" s="111">
        <f>SUM(J237:J241)</f>
        <v>76</v>
      </c>
    </row>
    <row r="237" spans="1:11" x14ac:dyDescent="0.25">
      <c r="A237" s="101"/>
      <c r="C237" s="456" t="s">
        <v>308</v>
      </c>
      <c r="D237" s="456"/>
      <c r="E237" s="456"/>
      <c r="F237" s="456"/>
      <c r="G237" s="456"/>
      <c r="H237" s="456"/>
      <c r="I237" s="30" t="s">
        <v>300</v>
      </c>
      <c r="J237" s="113">
        <f>1+1+2</f>
        <v>4</v>
      </c>
    </row>
    <row r="238" spans="1:11" x14ac:dyDescent="0.25">
      <c r="A238" s="101"/>
      <c r="C238" s="456"/>
      <c r="D238" s="456"/>
      <c r="E238" s="456"/>
      <c r="F238" s="456"/>
      <c r="G238" s="456"/>
      <c r="H238" s="456"/>
      <c r="J238" s="113"/>
    </row>
    <row r="239" spans="1:11" x14ac:dyDescent="0.25">
      <c r="A239" s="105" t="str">
        <f>Orçamento!$A$201</f>
        <v>15.2</v>
      </c>
      <c r="B239" s="104"/>
      <c r="C239" s="466" t="str">
        <f>Orçamento!$D$201</f>
        <v>REMANEJAMENTO DE MOBILIÁRIOS PARA TROCA DE PISO (VOLTAR PARA POSIÇÃO INICIAL)</v>
      </c>
      <c r="D239" s="466"/>
      <c r="E239" s="466"/>
      <c r="F239" s="466"/>
      <c r="G239" s="466"/>
      <c r="H239" s="466"/>
      <c r="I239" s="104" t="s">
        <v>300</v>
      </c>
      <c r="J239" s="111">
        <f>SUM(J240:J241)</f>
        <v>36</v>
      </c>
    </row>
    <row r="240" spans="1:11" x14ac:dyDescent="0.25">
      <c r="A240" s="101"/>
      <c r="C240" s="456" t="s">
        <v>308</v>
      </c>
      <c r="D240" s="456"/>
      <c r="E240" s="456"/>
      <c r="F240" s="456"/>
      <c r="G240" s="456"/>
      <c r="H240" s="456"/>
      <c r="I240" s="30" t="s">
        <v>300</v>
      </c>
      <c r="J240" s="113">
        <v>17</v>
      </c>
    </row>
    <row r="241" spans="1:10" x14ac:dyDescent="0.25">
      <c r="A241" s="101"/>
      <c r="C241" s="456" t="s">
        <v>314</v>
      </c>
      <c r="D241" s="456"/>
      <c r="E241" s="456"/>
      <c r="F241" s="456"/>
      <c r="G241" s="456"/>
      <c r="H241" s="456"/>
      <c r="I241" s="30" t="s">
        <v>300</v>
      </c>
      <c r="J241" s="113">
        <f>19</f>
        <v>19</v>
      </c>
    </row>
    <row r="242" spans="1:10" ht="15.75" thickBot="1" x14ac:dyDescent="0.3">
      <c r="A242" s="101"/>
      <c r="C242" s="456"/>
      <c r="D242" s="456"/>
      <c r="E242" s="456"/>
      <c r="F242" s="456"/>
      <c r="G242" s="456"/>
      <c r="H242" s="456"/>
      <c r="J242" s="113"/>
    </row>
    <row r="243" spans="1:10" s="104" customFormat="1" ht="15.75" thickBot="1" x14ac:dyDescent="0.3">
      <c r="A243" s="119">
        <f>Orçamento!A203</f>
        <v>16</v>
      </c>
      <c r="B243" s="120"/>
      <c r="C243" s="458" t="str">
        <f>Orçamento!D203</f>
        <v>COBERTURA</v>
      </c>
      <c r="D243" s="458"/>
      <c r="E243" s="458"/>
      <c r="F243" s="458"/>
      <c r="G243" s="458"/>
      <c r="H243" s="458"/>
      <c r="I243" s="120"/>
      <c r="J243" s="121"/>
    </row>
    <row r="244" spans="1:10" s="117" customFormat="1" ht="47.25" customHeight="1" x14ac:dyDescent="0.25">
      <c r="A244" s="103" t="str">
        <f>Orçamento!A204</f>
        <v>16.1</v>
      </c>
      <c r="C244" s="466" t="str">
        <f>Orçamento!D204</f>
        <v>REMOÇÃO MANUAL DE TELHA EM FIBROCIMENTO, TIPO ONDULADA, COM REAPROVEITAMENTO, INCLUSIVE AFASTAMENTO E EMPILHAMENTO, EXCLUSIVE TRANSPORTE E RETIRADA DO MATERIAL REMOVIDO NÃO REAPROVEITÁVEL</v>
      </c>
      <c r="D244" s="466"/>
      <c r="E244" s="466"/>
      <c r="F244" s="466"/>
      <c r="G244" s="466"/>
      <c r="H244" s="466"/>
      <c r="I244" s="117" t="str">
        <f>I245</f>
        <v>m²</v>
      </c>
      <c r="J244" s="106">
        <f>J245</f>
        <v>42.664999999999999</v>
      </c>
    </row>
    <row r="245" spans="1:10" x14ac:dyDescent="0.25">
      <c r="A245" s="101"/>
      <c r="C245" s="456" t="s">
        <v>314</v>
      </c>
      <c r="D245" s="456"/>
      <c r="E245" s="456"/>
      <c r="F245" s="456"/>
      <c r="G245" s="456"/>
      <c r="H245" s="456"/>
      <c r="I245" s="30" t="s">
        <v>7</v>
      </c>
      <c r="J245" s="113">
        <f>85.33*0.5</f>
        <v>42.664999999999999</v>
      </c>
    </row>
    <row r="246" spans="1:10" x14ac:dyDescent="0.25">
      <c r="A246" s="461" t="s">
        <v>760</v>
      </c>
      <c r="B246" s="456"/>
      <c r="C246" s="456"/>
      <c r="D246" s="456"/>
      <c r="E246" s="456"/>
      <c r="F246" s="456"/>
      <c r="G246" s="456"/>
      <c r="H246" s="456"/>
      <c r="I246" s="456"/>
      <c r="J246" s="462"/>
    </row>
    <row r="247" spans="1:10" x14ac:dyDescent="0.25">
      <c r="A247" s="101"/>
      <c r="C247" s="456"/>
      <c r="D247" s="456"/>
      <c r="E247" s="456"/>
      <c r="F247" s="456"/>
      <c r="G247" s="456"/>
      <c r="H247" s="456"/>
      <c r="J247" s="113"/>
    </row>
    <row r="248" spans="1:10" x14ac:dyDescent="0.25">
      <c r="A248" s="105" t="str">
        <f>Orçamento!A205</f>
        <v>16.2</v>
      </c>
      <c r="B248" s="104"/>
      <c r="C248" s="466" t="str">
        <f>Orçamento!D205</f>
        <v xml:space="preserve">COBERTURA EM TELHA DE FIBROCIMENTO ONDULADA E = 5 MM </v>
      </c>
      <c r="D248" s="466"/>
      <c r="E248" s="466"/>
      <c r="F248" s="466"/>
      <c r="G248" s="466"/>
      <c r="H248" s="466"/>
      <c r="I248" s="104" t="str">
        <f>I249</f>
        <v>m²</v>
      </c>
      <c r="J248" s="111">
        <f>J249</f>
        <v>42.664999999999999</v>
      </c>
    </row>
    <row r="249" spans="1:10" x14ac:dyDescent="0.25">
      <c r="A249" s="101"/>
      <c r="C249" s="456" t="s">
        <v>314</v>
      </c>
      <c r="D249" s="456"/>
      <c r="E249" s="456"/>
      <c r="F249" s="456"/>
      <c r="G249" s="456"/>
      <c r="H249" s="456"/>
      <c r="I249" s="30" t="s">
        <v>7</v>
      </c>
      <c r="J249" s="113">
        <f>85.33*0.5</f>
        <v>42.664999999999999</v>
      </c>
    </row>
    <row r="250" spans="1:10" x14ac:dyDescent="0.25">
      <c r="A250" s="461" t="s">
        <v>760</v>
      </c>
      <c r="B250" s="456"/>
      <c r="C250" s="456"/>
      <c r="D250" s="456"/>
      <c r="E250" s="456"/>
      <c r="F250" s="456"/>
      <c r="G250" s="456"/>
      <c r="H250" s="456"/>
      <c r="I250" s="456"/>
      <c r="J250" s="462"/>
    </row>
    <row r="251" spans="1:10" ht="15.75" thickBot="1" x14ac:dyDescent="0.3">
      <c r="A251" s="101"/>
      <c r="C251" s="456"/>
      <c r="D251" s="456"/>
      <c r="E251" s="456"/>
      <c r="F251" s="456"/>
      <c r="G251" s="456"/>
      <c r="H251" s="456"/>
      <c r="J251" s="113"/>
    </row>
    <row r="252" spans="1:10" s="104" customFormat="1" ht="15.75" thickBot="1" x14ac:dyDescent="0.3">
      <c r="A252" s="119">
        <f>Orçamento!A207</f>
        <v>17</v>
      </c>
      <c r="B252" s="120"/>
      <c r="C252" s="458" t="s">
        <v>86</v>
      </c>
      <c r="D252" s="458"/>
      <c r="E252" s="458"/>
      <c r="F252" s="458"/>
      <c r="G252" s="458"/>
      <c r="H252" s="458"/>
      <c r="I252" s="120"/>
      <c r="J252" s="121"/>
    </row>
    <row r="253" spans="1:10" x14ac:dyDescent="0.25">
      <c r="A253" s="103" t="str">
        <f>Orçamento!A208</f>
        <v>17.1</v>
      </c>
      <c r="B253" s="117" t="s">
        <v>176</v>
      </c>
      <c r="C253" s="459" t="s">
        <v>43</v>
      </c>
      <c r="D253" s="459"/>
      <c r="E253" s="459"/>
      <c r="F253" s="459"/>
      <c r="G253" s="459"/>
      <c r="H253" s="459"/>
      <c r="I253" s="104" t="s">
        <v>7</v>
      </c>
      <c r="J253" s="111">
        <f>SUM(J254:J257)</f>
        <v>200.49</v>
      </c>
    </row>
    <row r="254" spans="1:10" s="109" customFormat="1" x14ac:dyDescent="0.25">
      <c r="A254" s="108"/>
      <c r="C254" s="454" t="s">
        <v>311</v>
      </c>
      <c r="D254" s="454"/>
      <c r="E254" s="454"/>
      <c r="F254" s="454"/>
      <c r="G254" s="454"/>
      <c r="H254" s="454"/>
      <c r="I254" s="118" t="s">
        <v>7</v>
      </c>
      <c r="J254" s="114">
        <v>37.409999999999997</v>
      </c>
    </row>
    <row r="255" spans="1:10" s="109" customFormat="1" x14ac:dyDescent="0.25">
      <c r="A255" s="108"/>
      <c r="C255" s="454" t="s">
        <v>548</v>
      </c>
      <c r="D255" s="454"/>
      <c r="E255" s="454"/>
      <c r="F255" s="454"/>
      <c r="G255" s="454"/>
      <c r="H255" s="454"/>
      <c r="I255" s="118" t="s">
        <v>7</v>
      </c>
      <c r="J255" s="114">
        <f>34.75+7.64</f>
        <v>42.39</v>
      </c>
    </row>
    <row r="256" spans="1:10" s="109" customFormat="1" x14ac:dyDescent="0.25">
      <c r="A256" s="108"/>
      <c r="C256" s="454" t="s">
        <v>308</v>
      </c>
      <c r="D256" s="454"/>
      <c r="E256" s="454"/>
      <c r="F256" s="454"/>
      <c r="G256" s="454"/>
      <c r="H256" s="454"/>
      <c r="I256" s="118" t="s">
        <v>7</v>
      </c>
      <c r="J256" s="114">
        <v>35.36</v>
      </c>
    </row>
    <row r="257" spans="1:10" s="109" customFormat="1" x14ac:dyDescent="0.25">
      <c r="A257" s="108"/>
      <c r="C257" s="456" t="s">
        <v>314</v>
      </c>
      <c r="D257" s="456"/>
      <c r="E257" s="456"/>
      <c r="F257" s="456"/>
      <c r="G257" s="456"/>
      <c r="H257" s="456"/>
      <c r="I257" s="30" t="s">
        <v>7</v>
      </c>
      <c r="J257" s="113">
        <v>85.33</v>
      </c>
    </row>
    <row r="258" spans="1:10" x14ac:dyDescent="0.25">
      <c r="A258" s="101"/>
      <c r="C258" s="456"/>
      <c r="D258" s="456"/>
      <c r="E258" s="456"/>
      <c r="F258" s="456"/>
      <c r="G258" s="456"/>
      <c r="H258" s="456"/>
      <c r="J258" s="113"/>
    </row>
    <row r="259" spans="1:10" x14ac:dyDescent="0.25">
      <c r="A259" s="103" t="str">
        <f>Orçamento!A209</f>
        <v>17.2</v>
      </c>
      <c r="B259" s="117" t="s">
        <v>8</v>
      </c>
      <c r="C259" s="460" t="s">
        <v>38</v>
      </c>
      <c r="D259" s="460"/>
      <c r="E259" s="460"/>
      <c r="F259" s="460"/>
      <c r="G259" s="460"/>
      <c r="H259" s="460"/>
      <c r="I259" s="104" t="s">
        <v>36</v>
      </c>
      <c r="J259" s="111">
        <f>J260</f>
        <v>20</v>
      </c>
    </row>
    <row r="260" spans="1:10" x14ac:dyDescent="0.25">
      <c r="A260" s="101"/>
      <c r="C260" s="456" t="s">
        <v>305</v>
      </c>
      <c r="D260" s="456"/>
      <c r="E260" s="456"/>
      <c r="F260" s="456"/>
      <c r="G260" s="456"/>
      <c r="H260" s="456"/>
      <c r="I260" s="30" t="s">
        <v>36</v>
      </c>
      <c r="J260" s="113">
        <f>4*5</f>
        <v>20</v>
      </c>
    </row>
    <row r="261" spans="1:10" x14ac:dyDescent="0.25">
      <c r="A261" s="101"/>
      <c r="C261" s="456"/>
      <c r="D261" s="456"/>
      <c r="E261" s="456"/>
      <c r="F261" s="456"/>
      <c r="G261" s="456"/>
      <c r="H261" s="456"/>
      <c r="J261" s="113"/>
    </row>
    <row r="262" spans="1:10" x14ac:dyDescent="0.25">
      <c r="A262" s="103" t="str">
        <f>Orçamento!A210</f>
        <v>17.3</v>
      </c>
      <c r="B262" s="117" t="s">
        <v>8</v>
      </c>
      <c r="C262" s="460" t="s">
        <v>105</v>
      </c>
      <c r="D262" s="460"/>
      <c r="E262" s="460"/>
      <c r="F262" s="460"/>
      <c r="G262" s="460"/>
      <c r="H262" s="460"/>
      <c r="I262" s="104" t="s">
        <v>36</v>
      </c>
      <c r="J262" s="111">
        <f>J263</f>
        <v>20</v>
      </c>
    </row>
    <row r="263" spans="1:10" x14ac:dyDescent="0.25">
      <c r="A263" s="101"/>
      <c r="C263" s="456" t="s">
        <v>617</v>
      </c>
      <c r="D263" s="456"/>
      <c r="E263" s="456"/>
      <c r="F263" s="456"/>
      <c r="G263" s="456"/>
      <c r="H263" s="456"/>
      <c r="I263" s="30" t="s">
        <v>36</v>
      </c>
      <c r="J263" s="113">
        <f>4*5</f>
        <v>20</v>
      </c>
    </row>
    <row r="264" spans="1:10" x14ac:dyDescent="0.25">
      <c r="A264" s="101"/>
      <c r="C264" s="456"/>
      <c r="D264" s="456"/>
      <c r="E264" s="456"/>
      <c r="F264" s="456"/>
      <c r="G264" s="456"/>
      <c r="H264" s="456"/>
      <c r="J264" s="113"/>
    </row>
    <row r="265" spans="1:10" x14ac:dyDescent="0.25">
      <c r="A265" s="103" t="str">
        <f>Orçamento!A211</f>
        <v>17.4</v>
      </c>
      <c r="B265" s="117" t="s">
        <v>8</v>
      </c>
      <c r="C265" s="460" t="s">
        <v>40</v>
      </c>
      <c r="D265" s="460"/>
      <c r="E265" s="460"/>
      <c r="F265" s="460"/>
      <c r="G265" s="460"/>
      <c r="H265" s="460"/>
      <c r="I265" s="104" t="s">
        <v>7</v>
      </c>
      <c r="J265" s="111">
        <f>SUM(J266:J269)</f>
        <v>200.49</v>
      </c>
    </row>
    <row r="266" spans="1:10" s="109" customFormat="1" x14ac:dyDescent="0.25">
      <c r="A266" s="108"/>
      <c r="C266" s="454" t="s">
        <v>311</v>
      </c>
      <c r="D266" s="454"/>
      <c r="E266" s="454"/>
      <c r="F266" s="454"/>
      <c r="G266" s="454"/>
      <c r="H266" s="454"/>
      <c r="I266" s="118" t="s">
        <v>7</v>
      </c>
      <c r="J266" s="114">
        <v>37.409999999999997</v>
      </c>
    </row>
    <row r="267" spans="1:10" s="109" customFormat="1" x14ac:dyDescent="0.25">
      <c r="A267" s="108"/>
      <c r="C267" s="454" t="s">
        <v>548</v>
      </c>
      <c r="D267" s="454"/>
      <c r="E267" s="454"/>
      <c r="F267" s="454"/>
      <c r="G267" s="454"/>
      <c r="H267" s="454"/>
      <c r="I267" s="118" t="s">
        <v>7</v>
      </c>
      <c r="J267" s="114">
        <f>34.75+7.64</f>
        <v>42.39</v>
      </c>
    </row>
    <row r="268" spans="1:10" s="109" customFormat="1" x14ac:dyDescent="0.25">
      <c r="A268" s="108"/>
      <c r="C268" s="454" t="s">
        <v>308</v>
      </c>
      <c r="D268" s="454"/>
      <c r="E268" s="454"/>
      <c r="F268" s="454"/>
      <c r="G268" s="454"/>
      <c r="H268" s="454"/>
      <c r="I268" s="118" t="s">
        <v>7</v>
      </c>
      <c r="J268" s="114">
        <v>35.36</v>
      </c>
    </row>
    <row r="269" spans="1:10" s="109" customFormat="1" x14ac:dyDescent="0.25">
      <c r="A269" s="108"/>
      <c r="C269" s="456" t="s">
        <v>314</v>
      </c>
      <c r="D269" s="456"/>
      <c r="E269" s="456"/>
      <c r="F269" s="456"/>
      <c r="G269" s="456"/>
      <c r="H269" s="456"/>
      <c r="I269" s="30" t="s">
        <v>7</v>
      </c>
      <c r="J269" s="113">
        <v>85.33</v>
      </c>
    </row>
    <row r="270" spans="1:10" ht="15.75" thickBot="1" x14ac:dyDescent="0.3">
      <c r="A270" s="102"/>
      <c r="B270" s="99"/>
      <c r="C270" s="457"/>
      <c r="D270" s="457"/>
      <c r="E270" s="457"/>
      <c r="F270" s="457"/>
      <c r="G270" s="457"/>
      <c r="H270" s="457"/>
      <c r="I270" s="99"/>
      <c r="J270" s="115"/>
    </row>
    <row r="271" spans="1:10" x14ac:dyDescent="0.25">
      <c r="C271" s="456"/>
      <c r="D271" s="456"/>
      <c r="E271" s="456"/>
      <c r="F271" s="456"/>
      <c r="G271" s="456"/>
      <c r="H271" s="456"/>
    </row>
    <row r="272" spans="1:10" x14ac:dyDescent="0.25">
      <c r="C272" s="456"/>
      <c r="D272" s="456"/>
      <c r="E272" s="456"/>
      <c r="F272" s="456"/>
      <c r="G272" s="456"/>
      <c r="H272" s="456"/>
    </row>
    <row r="273" spans="3:8" x14ac:dyDescent="0.25">
      <c r="C273" s="456"/>
      <c r="D273" s="456"/>
      <c r="E273" s="456"/>
      <c r="F273" s="456"/>
      <c r="G273" s="456"/>
      <c r="H273" s="456"/>
    </row>
    <row r="274" spans="3:8" x14ac:dyDescent="0.25">
      <c r="C274" s="456"/>
      <c r="D274" s="456"/>
      <c r="E274" s="456"/>
      <c r="F274" s="456"/>
      <c r="G274" s="456"/>
      <c r="H274" s="456"/>
    </row>
    <row r="275" spans="3:8" x14ac:dyDescent="0.25">
      <c r="C275" s="456"/>
      <c r="D275" s="456"/>
      <c r="E275" s="456"/>
      <c r="F275" s="456"/>
      <c r="G275" s="456"/>
      <c r="H275" s="456"/>
    </row>
    <row r="276" spans="3:8" x14ac:dyDescent="0.25">
      <c r="C276" s="456"/>
      <c r="D276" s="456"/>
      <c r="E276" s="456"/>
      <c r="F276" s="456"/>
      <c r="G276" s="456"/>
      <c r="H276" s="456"/>
    </row>
    <row r="277" spans="3:8" x14ac:dyDescent="0.25">
      <c r="C277" s="456"/>
      <c r="D277" s="456"/>
      <c r="E277" s="456"/>
      <c r="F277" s="456"/>
      <c r="G277" s="456"/>
      <c r="H277" s="456"/>
    </row>
    <row r="278" spans="3:8" x14ac:dyDescent="0.25">
      <c r="C278" s="456"/>
      <c r="D278" s="456"/>
      <c r="E278" s="456"/>
      <c r="F278" s="456"/>
      <c r="G278" s="456"/>
      <c r="H278" s="456"/>
    </row>
    <row r="279" spans="3:8" x14ac:dyDescent="0.25">
      <c r="C279" s="456"/>
      <c r="D279" s="456"/>
      <c r="E279" s="456"/>
      <c r="F279" s="456"/>
      <c r="G279" s="456"/>
      <c r="H279" s="456"/>
    </row>
    <row r="280" spans="3:8" x14ac:dyDescent="0.25">
      <c r="C280" s="456"/>
      <c r="D280" s="456"/>
      <c r="E280" s="456"/>
      <c r="F280" s="456"/>
      <c r="G280" s="456"/>
      <c r="H280" s="456"/>
    </row>
    <row r="281" spans="3:8" x14ac:dyDescent="0.25">
      <c r="C281" s="456"/>
      <c r="D281" s="456"/>
      <c r="E281" s="456"/>
      <c r="F281" s="456"/>
      <c r="G281" s="456"/>
      <c r="H281" s="456"/>
    </row>
    <row r="282" spans="3:8" x14ac:dyDescent="0.25">
      <c r="C282" s="456"/>
      <c r="D282" s="456"/>
      <c r="E282" s="456"/>
      <c r="F282" s="456"/>
      <c r="G282" s="456"/>
      <c r="H282" s="456"/>
    </row>
    <row r="283" spans="3:8" x14ac:dyDescent="0.25">
      <c r="C283" s="456"/>
      <c r="D283" s="456"/>
      <c r="E283" s="456"/>
      <c r="F283" s="456"/>
      <c r="G283" s="456"/>
      <c r="H283" s="456"/>
    </row>
    <row r="284" spans="3:8" x14ac:dyDescent="0.25">
      <c r="C284" s="456"/>
      <c r="D284" s="456"/>
      <c r="E284" s="456"/>
      <c r="F284" s="456"/>
      <c r="G284" s="456"/>
      <c r="H284" s="456"/>
    </row>
    <row r="285" spans="3:8" x14ac:dyDescent="0.25">
      <c r="C285" s="456"/>
      <c r="D285" s="456"/>
      <c r="E285" s="456"/>
      <c r="F285" s="456"/>
      <c r="G285" s="456"/>
      <c r="H285" s="456"/>
    </row>
    <row r="286" spans="3:8" x14ac:dyDescent="0.25">
      <c r="C286" s="456"/>
      <c r="D286" s="456"/>
      <c r="E286" s="456"/>
      <c r="F286" s="456"/>
      <c r="G286" s="456"/>
      <c r="H286" s="456"/>
    </row>
    <row r="287" spans="3:8" x14ac:dyDescent="0.25">
      <c r="C287" s="456"/>
      <c r="D287" s="456"/>
      <c r="E287" s="456"/>
      <c r="F287" s="456"/>
      <c r="G287" s="456"/>
      <c r="H287" s="456"/>
    </row>
    <row r="288" spans="3:8" x14ac:dyDescent="0.25">
      <c r="C288" s="456"/>
      <c r="D288" s="456"/>
      <c r="E288" s="456"/>
      <c r="F288" s="456"/>
      <c r="G288" s="456"/>
      <c r="H288" s="456"/>
    </row>
    <row r="289" spans="3:8" x14ac:dyDescent="0.25">
      <c r="C289" s="456"/>
      <c r="D289" s="456"/>
      <c r="E289" s="456"/>
      <c r="F289" s="456"/>
      <c r="G289" s="456"/>
      <c r="H289" s="456"/>
    </row>
    <row r="290" spans="3:8" x14ac:dyDescent="0.25">
      <c r="C290" s="456"/>
      <c r="D290" s="456"/>
      <c r="E290" s="456"/>
      <c r="F290" s="456"/>
      <c r="G290" s="456"/>
      <c r="H290" s="456"/>
    </row>
    <row r="291" spans="3:8" x14ac:dyDescent="0.25">
      <c r="C291" s="456"/>
      <c r="D291" s="456"/>
      <c r="E291" s="456"/>
      <c r="F291" s="456"/>
      <c r="G291" s="456"/>
      <c r="H291" s="456"/>
    </row>
    <row r="292" spans="3:8" x14ac:dyDescent="0.25">
      <c r="C292" s="456"/>
      <c r="D292" s="456"/>
      <c r="E292" s="456"/>
      <c r="F292" s="456"/>
      <c r="G292" s="456"/>
      <c r="H292" s="456"/>
    </row>
    <row r="293" spans="3:8" x14ac:dyDescent="0.25">
      <c r="C293" s="456"/>
      <c r="D293" s="456"/>
      <c r="E293" s="456"/>
      <c r="F293" s="456"/>
      <c r="G293" s="456"/>
      <c r="H293" s="456"/>
    </row>
    <row r="294" spans="3:8" x14ac:dyDescent="0.25">
      <c r="C294" s="456"/>
      <c r="D294" s="456"/>
      <c r="E294" s="456"/>
      <c r="F294" s="456"/>
      <c r="G294" s="456"/>
      <c r="H294" s="456"/>
    </row>
    <row r="295" spans="3:8" x14ac:dyDescent="0.25">
      <c r="C295" s="456"/>
      <c r="D295" s="456"/>
      <c r="E295" s="456"/>
      <c r="F295" s="456"/>
      <c r="G295" s="456"/>
      <c r="H295" s="456"/>
    </row>
    <row r="296" spans="3:8" x14ac:dyDescent="0.25">
      <c r="C296" s="456"/>
      <c r="D296" s="456"/>
      <c r="E296" s="456"/>
      <c r="F296" s="456"/>
      <c r="G296" s="456"/>
      <c r="H296" s="456"/>
    </row>
    <row r="297" spans="3:8" x14ac:dyDescent="0.25">
      <c r="C297" s="456"/>
      <c r="D297" s="456"/>
      <c r="E297" s="456"/>
      <c r="F297" s="456"/>
      <c r="G297" s="456"/>
      <c r="H297" s="456"/>
    </row>
    <row r="298" spans="3:8" x14ac:dyDescent="0.25">
      <c r="C298" s="456"/>
      <c r="D298" s="456"/>
      <c r="E298" s="456"/>
      <c r="F298" s="456"/>
      <c r="G298" s="456"/>
      <c r="H298" s="456"/>
    </row>
    <row r="299" spans="3:8" x14ac:dyDescent="0.25">
      <c r="C299" s="456"/>
      <c r="D299" s="456"/>
      <c r="E299" s="456"/>
      <c r="F299" s="456"/>
      <c r="G299" s="456"/>
      <c r="H299" s="456"/>
    </row>
    <row r="300" spans="3:8" x14ac:dyDescent="0.25">
      <c r="C300" s="456"/>
      <c r="D300" s="456"/>
      <c r="E300" s="456"/>
      <c r="F300" s="456"/>
      <c r="G300" s="456"/>
      <c r="H300" s="456"/>
    </row>
    <row r="301" spans="3:8" x14ac:dyDescent="0.25">
      <c r="C301" s="456"/>
      <c r="D301" s="456"/>
      <c r="E301" s="456"/>
      <c r="F301" s="456"/>
      <c r="G301" s="456"/>
      <c r="H301" s="456"/>
    </row>
    <row r="302" spans="3:8" x14ac:dyDescent="0.25">
      <c r="C302" s="456"/>
      <c r="D302" s="456"/>
      <c r="E302" s="456"/>
      <c r="F302" s="456"/>
      <c r="G302" s="456"/>
      <c r="H302" s="456"/>
    </row>
    <row r="303" spans="3:8" x14ac:dyDescent="0.25">
      <c r="C303" s="456"/>
      <c r="D303" s="456"/>
      <c r="E303" s="456"/>
      <c r="F303" s="456"/>
      <c r="G303" s="456"/>
      <c r="H303" s="456"/>
    </row>
    <row r="304" spans="3:8" x14ac:dyDescent="0.25">
      <c r="C304" s="456"/>
      <c r="D304" s="456"/>
      <c r="E304" s="456"/>
      <c r="F304" s="456"/>
      <c r="G304" s="456"/>
      <c r="H304" s="456"/>
    </row>
    <row r="305" spans="3:8" x14ac:dyDescent="0.25">
      <c r="C305" s="456"/>
      <c r="D305" s="456"/>
      <c r="E305" s="456"/>
      <c r="F305" s="456"/>
      <c r="G305" s="456"/>
      <c r="H305" s="456"/>
    </row>
    <row r="306" spans="3:8" x14ac:dyDescent="0.25">
      <c r="C306" s="456"/>
      <c r="D306" s="456"/>
      <c r="E306" s="456"/>
      <c r="F306" s="456"/>
      <c r="G306" s="456"/>
      <c r="H306" s="456"/>
    </row>
    <row r="307" spans="3:8" x14ac:dyDescent="0.25">
      <c r="C307" s="456"/>
      <c r="D307" s="456"/>
      <c r="E307" s="456"/>
      <c r="F307" s="456"/>
      <c r="G307" s="456"/>
      <c r="H307" s="456"/>
    </row>
    <row r="308" spans="3:8" x14ac:dyDescent="0.25">
      <c r="C308" s="456"/>
      <c r="D308" s="456"/>
      <c r="E308" s="456"/>
      <c r="F308" s="456"/>
      <c r="G308" s="456"/>
      <c r="H308" s="456"/>
    </row>
    <row r="309" spans="3:8" x14ac:dyDescent="0.25">
      <c r="C309" s="456"/>
      <c r="D309" s="456"/>
      <c r="E309" s="456"/>
      <c r="F309" s="456"/>
      <c r="G309" s="456"/>
      <c r="H309" s="456"/>
    </row>
    <row r="310" spans="3:8" x14ac:dyDescent="0.25">
      <c r="C310" s="456"/>
      <c r="D310" s="456"/>
      <c r="E310" s="456"/>
      <c r="F310" s="456"/>
      <c r="G310" s="456"/>
      <c r="H310" s="456"/>
    </row>
    <row r="311" spans="3:8" x14ac:dyDescent="0.25">
      <c r="C311" s="456"/>
      <c r="D311" s="456"/>
      <c r="E311" s="456"/>
      <c r="F311" s="456"/>
      <c r="G311" s="456"/>
      <c r="H311" s="456"/>
    </row>
    <row r="312" spans="3:8" x14ac:dyDescent="0.25">
      <c r="C312" s="456"/>
      <c r="D312" s="456"/>
      <c r="E312" s="456"/>
      <c r="F312" s="456"/>
      <c r="G312" s="456"/>
      <c r="H312" s="456"/>
    </row>
    <row r="313" spans="3:8" x14ac:dyDescent="0.25">
      <c r="C313" s="456"/>
      <c r="D313" s="456"/>
      <c r="E313" s="456"/>
      <c r="F313" s="456"/>
      <c r="G313" s="456"/>
      <c r="H313" s="456"/>
    </row>
    <row r="314" spans="3:8" x14ac:dyDescent="0.25">
      <c r="C314" s="456"/>
      <c r="D314" s="456"/>
      <c r="E314" s="456"/>
      <c r="F314" s="456"/>
      <c r="G314" s="456"/>
      <c r="H314" s="456"/>
    </row>
    <row r="315" spans="3:8" x14ac:dyDescent="0.25">
      <c r="C315" s="456"/>
      <c r="D315" s="456"/>
      <c r="E315" s="456"/>
      <c r="F315" s="456"/>
      <c r="G315" s="456"/>
      <c r="H315" s="456"/>
    </row>
    <row r="316" spans="3:8" x14ac:dyDescent="0.25">
      <c r="C316" s="456"/>
      <c r="D316" s="456"/>
      <c r="E316" s="456"/>
      <c r="F316" s="456"/>
      <c r="G316" s="456"/>
      <c r="H316" s="456"/>
    </row>
    <row r="317" spans="3:8" x14ac:dyDescent="0.25">
      <c r="C317" s="456"/>
      <c r="D317" s="456"/>
      <c r="E317" s="456"/>
      <c r="F317" s="456"/>
      <c r="G317" s="456"/>
      <c r="H317" s="456"/>
    </row>
    <row r="318" spans="3:8" x14ac:dyDescent="0.25">
      <c r="C318" s="456"/>
      <c r="D318" s="456"/>
      <c r="E318" s="456"/>
      <c r="F318" s="456"/>
      <c r="G318" s="456"/>
      <c r="H318" s="456"/>
    </row>
    <row r="319" spans="3:8" x14ac:dyDescent="0.25">
      <c r="C319" s="456"/>
      <c r="D319" s="456"/>
      <c r="E319" s="456"/>
      <c r="F319" s="456"/>
      <c r="G319" s="456"/>
      <c r="H319" s="456"/>
    </row>
    <row r="320" spans="3:8" x14ac:dyDescent="0.25">
      <c r="C320" s="456"/>
      <c r="D320" s="456"/>
      <c r="E320" s="456"/>
      <c r="F320" s="456"/>
      <c r="G320" s="456"/>
      <c r="H320" s="456"/>
    </row>
    <row r="321" spans="3:8" x14ac:dyDescent="0.25">
      <c r="C321" s="456"/>
      <c r="D321" s="456"/>
      <c r="E321" s="456"/>
      <c r="F321" s="456"/>
      <c r="G321" s="456"/>
      <c r="H321" s="456"/>
    </row>
    <row r="322" spans="3:8" x14ac:dyDescent="0.25">
      <c r="C322" s="456"/>
      <c r="D322" s="456"/>
      <c r="E322" s="456"/>
      <c r="F322" s="456"/>
      <c r="G322" s="456"/>
      <c r="H322" s="456"/>
    </row>
    <row r="323" spans="3:8" x14ac:dyDescent="0.25">
      <c r="C323" s="456"/>
      <c r="D323" s="456"/>
      <c r="E323" s="456"/>
      <c r="F323" s="456"/>
      <c r="G323" s="456"/>
      <c r="H323" s="456"/>
    </row>
    <row r="324" spans="3:8" x14ac:dyDescent="0.25">
      <c r="C324" s="456"/>
      <c r="D324" s="456"/>
      <c r="E324" s="456"/>
      <c r="F324" s="456"/>
      <c r="G324" s="456"/>
      <c r="H324" s="456"/>
    </row>
    <row r="325" spans="3:8" x14ac:dyDescent="0.25">
      <c r="C325" s="456"/>
      <c r="D325" s="456"/>
      <c r="E325" s="456"/>
      <c r="F325" s="456"/>
      <c r="G325" s="456"/>
      <c r="H325" s="456"/>
    </row>
    <row r="326" spans="3:8" x14ac:dyDescent="0.25">
      <c r="C326" s="456"/>
      <c r="D326" s="456"/>
      <c r="E326" s="456"/>
      <c r="F326" s="456"/>
      <c r="G326" s="456"/>
      <c r="H326" s="456"/>
    </row>
    <row r="327" spans="3:8" x14ac:dyDescent="0.25">
      <c r="C327" s="456"/>
      <c r="D327" s="456"/>
      <c r="E327" s="456"/>
      <c r="F327" s="456"/>
      <c r="G327" s="456"/>
      <c r="H327" s="456"/>
    </row>
    <row r="328" spans="3:8" x14ac:dyDescent="0.25">
      <c r="C328" s="456"/>
      <c r="D328" s="456"/>
      <c r="E328" s="456"/>
      <c r="F328" s="456"/>
      <c r="G328" s="456"/>
      <c r="H328" s="456"/>
    </row>
    <row r="329" spans="3:8" x14ac:dyDescent="0.25">
      <c r="C329" s="456"/>
      <c r="D329" s="456"/>
      <c r="E329" s="456"/>
      <c r="F329" s="456"/>
      <c r="G329" s="456"/>
      <c r="H329" s="456"/>
    </row>
    <row r="330" spans="3:8" x14ac:dyDescent="0.25">
      <c r="C330" s="456"/>
      <c r="D330" s="456"/>
      <c r="E330" s="456"/>
      <c r="F330" s="456"/>
      <c r="G330" s="456"/>
      <c r="H330" s="456"/>
    </row>
    <row r="331" spans="3:8" x14ac:dyDescent="0.25">
      <c r="C331" s="456"/>
      <c r="D331" s="456"/>
      <c r="E331" s="456"/>
      <c r="F331" s="456"/>
      <c r="G331" s="456"/>
      <c r="H331" s="456"/>
    </row>
    <row r="332" spans="3:8" x14ac:dyDescent="0.25">
      <c r="C332" s="456"/>
      <c r="D332" s="456"/>
      <c r="E332" s="456"/>
      <c r="F332" s="456"/>
      <c r="G332" s="456"/>
      <c r="H332" s="456"/>
    </row>
    <row r="333" spans="3:8" x14ac:dyDescent="0.25">
      <c r="C333" s="456"/>
      <c r="D333" s="456"/>
      <c r="E333" s="456"/>
      <c r="F333" s="456"/>
      <c r="G333" s="456"/>
      <c r="H333" s="456"/>
    </row>
    <row r="334" spans="3:8" x14ac:dyDescent="0.25">
      <c r="C334" s="456"/>
      <c r="D334" s="456"/>
      <c r="E334" s="456"/>
      <c r="F334" s="456"/>
      <c r="G334" s="456"/>
      <c r="H334" s="456"/>
    </row>
    <row r="335" spans="3:8" x14ac:dyDescent="0.25">
      <c r="C335" s="456"/>
      <c r="D335" s="456"/>
      <c r="E335" s="456"/>
      <c r="F335" s="456"/>
      <c r="G335" s="456"/>
      <c r="H335" s="456"/>
    </row>
    <row r="336" spans="3:8" x14ac:dyDescent="0.25">
      <c r="C336" s="456"/>
      <c r="D336" s="456"/>
      <c r="E336" s="456"/>
      <c r="F336" s="456"/>
      <c r="G336" s="456"/>
      <c r="H336" s="456"/>
    </row>
    <row r="337" spans="3:8" x14ac:dyDescent="0.25">
      <c r="C337" s="456"/>
      <c r="D337" s="456"/>
      <c r="E337" s="456"/>
      <c r="F337" s="456"/>
      <c r="G337" s="456"/>
      <c r="H337" s="456"/>
    </row>
    <row r="338" spans="3:8" x14ac:dyDescent="0.25">
      <c r="C338" s="456"/>
      <c r="D338" s="456"/>
      <c r="E338" s="456"/>
      <c r="F338" s="456"/>
      <c r="G338" s="456"/>
      <c r="H338" s="456"/>
    </row>
    <row r="339" spans="3:8" x14ac:dyDescent="0.25">
      <c r="C339" s="456"/>
      <c r="D339" s="456"/>
      <c r="E339" s="456"/>
      <c r="F339" s="456"/>
      <c r="G339" s="456"/>
      <c r="H339" s="456"/>
    </row>
    <row r="340" spans="3:8" x14ac:dyDescent="0.25">
      <c r="C340" s="456"/>
      <c r="D340" s="456"/>
      <c r="E340" s="456"/>
      <c r="F340" s="456"/>
      <c r="G340" s="456"/>
      <c r="H340" s="456"/>
    </row>
    <row r="341" spans="3:8" x14ac:dyDescent="0.25">
      <c r="C341" s="456"/>
      <c r="D341" s="456"/>
      <c r="E341" s="456"/>
      <c r="F341" s="456"/>
      <c r="G341" s="456"/>
      <c r="H341" s="456"/>
    </row>
    <row r="342" spans="3:8" x14ac:dyDescent="0.25">
      <c r="C342" s="456"/>
      <c r="D342" s="456"/>
      <c r="E342" s="456"/>
      <c r="F342" s="456"/>
      <c r="G342" s="456"/>
      <c r="H342" s="456"/>
    </row>
    <row r="343" spans="3:8" x14ac:dyDescent="0.25">
      <c r="C343" s="456"/>
      <c r="D343" s="456"/>
      <c r="E343" s="456"/>
      <c r="F343" s="456"/>
      <c r="G343" s="456"/>
      <c r="H343" s="456"/>
    </row>
    <row r="344" spans="3:8" x14ac:dyDescent="0.25">
      <c r="C344" s="456"/>
      <c r="D344" s="456"/>
      <c r="E344" s="456"/>
      <c r="F344" s="456"/>
      <c r="G344" s="456"/>
      <c r="H344" s="456"/>
    </row>
    <row r="345" spans="3:8" x14ac:dyDescent="0.25">
      <c r="C345" s="456"/>
      <c r="D345" s="456"/>
      <c r="E345" s="456"/>
      <c r="F345" s="456"/>
      <c r="G345" s="456"/>
      <c r="H345" s="456"/>
    </row>
    <row r="346" spans="3:8" x14ac:dyDescent="0.25">
      <c r="C346" s="456"/>
      <c r="D346" s="456"/>
      <c r="E346" s="456"/>
      <c r="F346" s="456"/>
      <c r="G346" s="456"/>
      <c r="H346" s="456"/>
    </row>
    <row r="347" spans="3:8" x14ac:dyDescent="0.25">
      <c r="C347" s="456"/>
      <c r="D347" s="456"/>
      <c r="E347" s="456"/>
      <c r="F347" s="456"/>
      <c r="G347" s="456"/>
      <c r="H347" s="456"/>
    </row>
    <row r="348" spans="3:8" x14ac:dyDescent="0.25">
      <c r="C348" s="456"/>
      <c r="D348" s="456"/>
      <c r="E348" s="456"/>
      <c r="F348" s="456"/>
      <c r="G348" s="456"/>
      <c r="H348" s="456"/>
    </row>
    <row r="349" spans="3:8" x14ac:dyDescent="0.25">
      <c r="C349" s="456"/>
      <c r="D349" s="456"/>
      <c r="E349" s="456"/>
      <c r="F349" s="456"/>
      <c r="G349" s="456"/>
      <c r="H349" s="456"/>
    </row>
    <row r="350" spans="3:8" x14ac:dyDescent="0.25">
      <c r="C350" s="456"/>
      <c r="D350" s="456"/>
      <c r="E350" s="456"/>
      <c r="F350" s="456"/>
      <c r="G350" s="456"/>
      <c r="H350" s="456"/>
    </row>
    <row r="351" spans="3:8" x14ac:dyDescent="0.25">
      <c r="C351" s="456"/>
      <c r="D351" s="456"/>
      <c r="E351" s="456"/>
      <c r="F351" s="456"/>
      <c r="G351" s="456"/>
      <c r="H351" s="456"/>
    </row>
    <row r="352" spans="3:8" x14ac:dyDescent="0.25">
      <c r="C352" s="456"/>
      <c r="D352" s="456"/>
      <c r="E352" s="456"/>
      <c r="F352" s="456"/>
      <c r="G352" s="456"/>
      <c r="H352" s="456"/>
    </row>
    <row r="353" spans="3:8" x14ac:dyDescent="0.25">
      <c r="C353" s="456"/>
      <c r="D353" s="456"/>
      <c r="E353" s="456"/>
      <c r="F353" s="456"/>
      <c r="G353" s="456"/>
      <c r="H353" s="456"/>
    </row>
    <row r="354" spans="3:8" x14ac:dyDescent="0.25">
      <c r="C354" s="456"/>
      <c r="D354" s="456"/>
      <c r="E354" s="456"/>
      <c r="F354" s="456"/>
      <c r="G354" s="456"/>
      <c r="H354" s="456"/>
    </row>
    <row r="355" spans="3:8" x14ac:dyDescent="0.25">
      <c r="C355" s="456"/>
      <c r="D355" s="456"/>
      <c r="E355" s="456"/>
      <c r="F355" s="456"/>
      <c r="G355" s="456"/>
      <c r="H355" s="456"/>
    </row>
    <row r="356" spans="3:8" x14ac:dyDescent="0.25">
      <c r="C356" s="456"/>
      <c r="D356" s="456"/>
      <c r="E356" s="456"/>
      <c r="F356" s="456"/>
      <c r="G356" s="456"/>
      <c r="H356" s="456"/>
    </row>
    <row r="357" spans="3:8" x14ac:dyDescent="0.25">
      <c r="C357" s="456"/>
      <c r="D357" s="456"/>
      <c r="E357" s="456"/>
      <c r="F357" s="456"/>
      <c r="G357" s="456"/>
      <c r="H357" s="456"/>
    </row>
    <row r="358" spans="3:8" x14ac:dyDescent="0.25">
      <c r="C358" s="456"/>
      <c r="D358" s="456"/>
      <c r="E358" s="456"/>
      <c r="F358" s="456"/>
      <c r="G358" s="456"/>
      <c r="H358" s="456"/>
    </row>
    <row r="359" spans="3:8" x14ac:dyDescent="0.25">
      <c r="C359" s="456"/>
      <c r="D359" s="456"/>
      <c r="E359" s="456"/>
      <c r="F359" s="456"/>
      <c r="G359" s="456"/>
      <c r="H359" s="456"/>
    </row>
    <row r="360" spans="3:8" x14ac:dyDescent="0.25">
      <c r="C360" s="456"/>
      <c r="D360" s="456"/>
      <c r="E360" s="456"/>
      <c r="F360" s="456"/>
      <c r="G360" s="456"/>
      <c r="H360" s="456"/>
    </row>
    <row r="361" spans="3:8" x14ac:dyDescent="0.25">
      <c r="C361" s="456"/>
      <c r="D361" s="456"/>
      <c r="E361" s="456"/>
      <c r="F361" s="456"/>
      <c r="G361" s="456"/>
      <c r="H361" s="456"/>
    </row>
    <row r="362" spans="3:8" x14ac:dyDescent="0.25">
      <c r="C362" s="456"/>
      <c r="D362" s="456"/>
      <c r="E362" s="456"/>
      <c r="F362" s="456"/>
      <c r="G362" s="456"/>
      <c r="H362" s="456"/>
    </row>
    <row r="363" spans="3:8" x14ac:dyDescent="0.25">
      <c r="C363" s="456"/>
      <c r="D363" s="456"/>
      <c r="E363" s="456"/>
      <c r="F363" s="456"/>
      <c r="G363" s="456"/>
      <c r="H363" s="456"/>
    </row>
    <row r="364" spans="3:8" x14ac:dyDescent="0.25">
      <c r="C364" s="456"/>
      <c r="D364" s="456"/>
      <c r="E364" s="456"/>
      <c r="F364" s="456"/>
      <c r="G364" s="456"/>
      <c r="H364" s="456"/>
    </row>
    <row r="365" spans="3:8" x14ac:dyDescent="0.25">
      <c r="C365" s="456"/>
      <c r="D365" s="456"/>
      <c r="E365" s="456"/>
      <c r="F365" s="456"/>
      <c r="G365" s="456"/>
      <c r="H365" s="456"/>
    </row>
    <row r="366" spans="3:8" x14ac:dyDescent="0.25">
      <c r="C366" s="456"/>
      <c r="D366" s="456"/>
      <c r="E366" s="456"/>
      <c r="F366" s="456"/>
      <c r="G366" s="456"/>
      <c r="H366" s="456"/>
    </row>
    <row r="367" spans="3:8" x14ac:dyDescent="0.25">
      <c r="C367" s="456"/>
      <c r="D367" s="456"/>
      <c r="E367" s="456"/>
      <c r="F367" s="456"/>
      <c r="G367" s="456"/>
      <c r="H367" s="456"/>
    </row>
    <row r="368" spans="3:8" x14ac:dyDescent="0.25">
      <c r="C368" s="456"/>
      <c r="D368" s="456"/>
      <c r="E368" s="456"/>
      <c r="F368" s="456"/>
      <c r="G368" s="456"/>
      <c r="H368" s="456"/>
    </row>
    <row r="369" spans="3:8" x14ac:dyDescent="0.25">
      <c r="C369" s="456"/>
      <c r="D369" s="456"/>
      <c r="E369" s="456"/>
      <c r="F369" s="456"/>
      <c r="G369" s="456"/>
      <c r="H369" s="456"/>
    </row>
    <row r="370" spans="3:8" x14ac:dyDescent="0.25">
      <c r="C370" s="456"/>
      <c r="D370" s="456"/>
      <c r="E370" s="456"/>
      <c r="F370" s="456"/>
      <c r="G370" s="456"/>
      <c r="H370" s="456"/>
    </row>
    <row r="371" spans="3:8" x14ac:dyDescent="0.25">
      <c r="C371" s="456"/>
      <c r="D371" s="456"/>
      <c r="E371" s="456"/>
      <c r="F371" s="456"/>
      <c r="G371" s="456"/>
      <c r="H371" s="456"/>
    </row>
    <row r="372" spans="3:8" x14ac:dyDescent="0.25">
      <c r="C372" s="456"/>
      <c r="D372" s="456"/>
      <c r="E372" s="456"/>
      <c r="F372" s="456"/>
      <c r="G372" s="456"/>
      <c r="H372" s="456"/>
    </row>
    <row r="373" spans="3:8" x14ac:dyDescent="0.25">
      <c r="C373" s="456"/>
      <c r="D373" s="456"/>
      <c r="E373" s="456"/>
      <c r="F373" s="456"/>
      <c r="G373" s="456"/>
      <c r="H373" s="456"/>
    </row>
    <row r="374" spans="3:8" x14ac:dyDescent="0.25">
      <c r="C374" s="456"/>
      <c r="D374" s="456"/>
      <c r="E374" s="456"/>
      <c r="F374" s="456"/>
      <c r="G374" s="456"/>
      <c r="H374" s="456"/>
    </row>
    <row r="375" spans="3:8" x14ac:dyDescent="0.25">
      <c r="C375" s="456"/>
      <c r="D375" s="456"/>
      <c r="E375" s="456"/>
      <c r="F375" s="456"/>
      <c r="G375" s="456"/>
      <c r="H375" s="456"/>
    </row>
    <row r="376" spans="3:8" x14ac:dyDescent="0.25">
      <c r="C376" s="456"/>
      <c r="D376" s="456"/>
      <c r="E376" s="456"/>
      <c r="F376" s="456"/>
      <c r="G376" s="456"/>
      <c r="H376" s="456"/>
    </row>
    <row r="377" spans="3:8" x14ac:dyDescent="0.25">
      <c r="C377" s="456"/>
      <c r="D377" s="456"/>
      <c r="E377" s="456"/>
      <c r="F377" s="456"/>
      <c r="G377" s="456"/>
      <c r="H377" s="456"/>
    </row>
    <row r="378" spans="3:8" x14ac:dyDescent="0.25">
      <c r="C378" s="456"/>
      <c r="D378" s="456"/>
      <c r="E378" s="456"/>
      <c r="F378" s="456"/>
      <c r="G378" s="456"/>
      <c r="H378" s="456"/>
    </row>
    <row r="379" spans="3:8" x14ac:dyDescent="0.25">
      <c r="C379" s="456"/>
      <c r="D379" s="456"/>
      <c r="E379" s="456"/>
      <c r="F379" s="456"/>
      <c r="G379" s="456"/>
      <c r="H379" s="456"/>
    </row>
    <row r="380" spans="3:8" x14ac:dyDescent="0.25">
      <c r="C380" s="456"/>
      <c r="D380" s="456"/>
      <c r="E380" s="456"/>
      <c r="F380" s="456"/>
      <c r="G380" s="456"/>
      <c r="H380" s="456"/>
    </row>
    <row r="381" spans="3:8" x14ac:dyDescent="0.25">
      <c r="C381" s="456"/>
      <c r="D381" s="456"/>
      <c r="E381" s="456"/>
      <c r="F381" s="456"/>
      <c r="G381" s="456"/>
      <c r="H381" s="456"/>
    </row>
    <row r="382" spans="3:8" x14ac:dyDescent="0.25">
      <c r="C382" s="456"/>
      <c r="D382" s="456"/>
      <c r="E382" s="456"/>
      <c r="F382" s="456"/>
      <c r="G382" s="456"/>
      <c r="H382" s="456"/>
    </row>
    <row r="383" spans="3:8" x14ac:dyDescent="0.25">
      <c r="C383" s="456"/>
      <c r="D383" s="456"/>
      <c r="E383" s="456"/>
      <c r="F383" s="456"/>
      <c r="G383" s="456"/>
      <c r="H383" s="456"/>
    </row>
    <row r="384" spans="3:8" x14ac:dyDescent="0.25">
      <c r="C384" s="456"/>
      <c r="D384" s="456"/>
      <c r="E384" s="456"/>
      <c r="F384" s="456"/>
      <c r="G384" s="456"/>
      <c r="H384" s="456"/>
    </row>
    <row r="385" spans="3:8" x14ac:dyDescent="0.25">
      <c r="C385" s="456"/>
      <c r="D385" s="456"/>
      <c r="E385" s="456"/>
      <c r="F385" s="456"/>
      <c r="G385" s="456"/>
      <c r="H385" s="456"/>
    </row>
    <row r="386" spans="3:8" x14ac:dyDescent="0.25">
      <c r="C386" s="456"/>
      <c r="D386" s="456"/>
      <c r="E386" s="456"/>
      <c r="F386" s="456"/>
      <c r="G386" s="456"/>
      <c r="H386" s="456"/>
    </row>
    <row r="387" spans="3:8" x14ac:dyDescent="0.25">
      <c r="C387" s="456"/>
      <c r="D387" s="456"/>
      <c r="E387" s="456"/>
      <c r="F387" s="456"/>
      <c r="G387" s="456"/>
      <c r="H387" s="456"/>
    </row>
    <row r="388" spans="3:8" x14ac:dyDescent="0.25">
      <c r="C388" s="456"/>
      <c r="D388" s="456"/>
      <c r="E388" s="456"/>
      <c r="F388" s="456"/>
      <c r="G388" s="456"/>
      <c r="H388" s="456"/>
    </row>
    <row r="389" spans="3:8" x14ac:dyDescent="0.25">
      <c r="C389" s="456"/>
      <c r="D389" s="456"/>
      <c r="E389" s="456"/>
      <c r="F389" s="456"/>
      <c r="G389" s="456"/>
      <c r="H389" s="456"/>
    </row>
    <row r="390" spans="3:8" x14ac:dyDescent="0.25">
      <c r="C390" s="456"/>
      <c r="D390" s="456"/>
      <c r="E390" s="456"/>
      <c r="F390" s="456"/>
      <c r="G390" s="456"/>
      <c r="H390" s="456"/>
    </row>
    <row r="391" spans="3:8" x14ac:dyDescent="0.25">
      <c r="C391" s="456"/>
      <c r="D391" s="456"/>
      <c r="E391" s="456"/>
      <c r="F391" s="456"/>
      <c r="G391" s="456"/>
      <c r="H391" s="456"/>
    </row>
    <row r="392" spans="3:8" x14ac:dyDescent="0.25">
      <c r="C392" s="456"/>
      <c r="D392" s="456"/>
      <c r="E392" s="456"/>
      <c r="F392" s="456"/>
      <c r="G392" s="456"/>
      <c r="H392" s="456"/>
    </row>
    <row r="393" spans="3:8" x14ac:dyDescent="0.25">
      <c r="C393" s="456"/>
      <c r="D393" s="456"/>
      <c r="E393" s="456"/>
      <c r="F393" s="456"/>
      <c r="G393" s="456"/>
      <c r="H393" s="456"/>
    </row>
    <row r="394" spans="3:8" x14ac:dyDescent="0.25">
      <c r="C394" s="456"/>
      <c r="D394" s="456"/>
      <c r="E394" s="456"/>
      <c r="F394" s="456"/>
      <c r="G394" s="456"/>
      <c r="H394" s="456"/>
    </row>
    <row r="395" spans="3:8" x14ac:dyDescent="0.25">
      <c r="C395" s="456"/>
      <c r="D395" s="456"/>
      <c r="E395" s="456"/>
      <c r="F395" s="456"/>
      <c r="G395" s="456"/>
      <c r="H395" s="456"/>
    </row>
    <row r="396" spans="3:8" x14ac:dyDescent="0.25">
      <c r="C396" s="456"/>
      <c r="D396" s="456"/>
      <c r="E396" s="456"/>
      <c r="F396" s="456"/>
      <c r="G396" s="456"/>
      <c r="H396" s="456"/>
    </row>
    <row r="397" spans="3:8" x14ac:dyDescent="0.25">
      <c r="C397" s="456"/>
      <c r="D397" s="456"/>
      <c r="E397" s="456"/>
      <c r="F397" s="456"/>
      <c r="G397" s="456"/>
      <c r="H397" s="456"/>
    </row>
    <row r="398" spans="3:8" x14ac:dyDescent="0.25">
      <c r="C398" s="456"/>
      <c r="D398" s="456"/>
      <c r="E398" s="456"/>
      <c r="F398" s="456"/>
      <c r="G398" s="456"/>
      <c r="H398" s="456"/>
    </row>
    <row r="399" spans="3:8" x14ac:dyDescent="0.25">
      <c r="C399" s="456"/>
      <c r="D399" s="456"/>
      <c r="E399" s="456"/>
      <c r="F399" s="456"/>
      <c r="G399" s="456"/>
      <c r="H399" s="456"/>
    </row>
    <row r="400" spans="3:8" x14ac:dyDescent="0.25">
      <c r="C400" s="456"/>
      <c r="D400" s="456"/>
      <c r="E400" s="456"/>
      <c r="F400" s="456"/>
      <c r="G400" s="456"/>
      <c r="H400" s="456"/>
    </row>
    <row r="401" spans="3:8" x14ac:dyDescent="0.25">
      <c r="C401" s="456"/>
      <c r="D401" s="456"/>
      <c r="E401" s="456"/>
      <c r="F401" s="456"/>
      <c r="G401" s="456"/>
      <c r="H401" s="456"/>
    </row>
    <row r="402" spans="3:8" x14ac:dyDescent="0.25">
      <c r="C402" s="456"/>
      <c r="D402" s="456"/>
      <c r="E402" s="456"/>
      <c r="F402" s="456"/>
      <c r="G402" s="456"/>
      <c r="H402" s="456"/>
    </row>
    <row r="403" spans="3:8" x14ac:dyDescent="0.25">
      <c r="C403" s="456"/>
      <c r="D403" s="456"/>
      <c r="E403" s="456"/>
      <c r="F403" s="456"/>
      <c r="G403" s="456"/>
      <c r="H403" s="456"/>
    </row>
    <row r="404" spans="3:8" x14ac:dyDescent="0.25">
      <c r="C404" s="456"/>
      <c r="D404" s="456"/>
      <c r="E404" s="456"/>
      <c r="F404" s="456"/>
      <c r="G404" s="456"/>
      <c r="H404" s="456"/>
    </row>
    <row r="405" spans="3:8" x14ac:dyDescent="0.25">
      <c r="C405" s="456"/>
      <c r="D405" s="456"/>
      <c r="E405" s="456"/>
      <c r="F405" s="456"/>
      <c r="G405" s="456"/>
      <c r="H405" s="456"/>
    </row>
    <row r="406" spans="3:8" x14ac:dyDescent="0.25">
      <c r="C406" s="456"/>
      <c r="D406" s="456"/>
      <c r="E406" s="456"/>
      <c r="F406" s="456"/>
      <c r="G406" s="456"/>
      <c r="H406" s="456"/>
    </row>
    <row r="407" spans="3:8" x14ac:dyDescent="0.25">
      <c r="C407" s="456"/>
      <c r="D407" s="456"/>
      <c r="E407" s="456"/>
      <c r="F407" s="456"/>
      <c r="G407" s="456"/>
      <c r="H407" s="456"/>
    </row>
    <row r="408" spans="3:8" x14ac:dyDescent="0.25">
      <c r="C408" s="456"/>
      <c r="D408" s="456"/>
      <c r="E408" s="456"/>
      <c r="F408" s="456"/>
      <c r="G408" s="456"/>
      <c r="H408" s="456"/>
    </row>
    <row r="409" spans="3:8" x14ac:dyDescent="0.25">
      <c r="C409" s="456"/>
      <c r="D409" s="456"/>
      <c r="E409" s="456"/>
      <c r="F409" s="456"/>
      <c r="G409" s="456"/>
      <c r="H409" s="456"/>
    </row>
    <row r="410" spans="3:8" x14ac:dyDescent="0.25">
      <c r="C410" s="456"/>
      <c r="D410" s="456"/>
      <c r="E410" s="456"/>
      <c r="F410" s="456"/>
      <c r="G410" s="456"/>
      <c r="H410" s="456"/>
    </row>
    <row r="411" spans="3:8" x14ac:dyDescent="0.25">
      <c r="C411" s="456"/>
      <c r="D411" s="456"/>
      <c r="E411" s="456"/>
      <c r="F411" s="456"/>
      <c r="G411" s="456"/>
      <c r="H411" s="456"/>
    </row>
    <row r="412" spans="3:8" x14ac:dyDescent="0.25">
      <c r="C412" s="456"/>
      <c r="D412" s="456"/>
      <c r="E412" s="456"/>
      <c r="F412" s="456"/>
      <c r="G412" s="456"/>
      <c r="H412" s="456"/>
    </row>
    <row r="413" spans="3:8" x14ac:dyDescent="0.25">
      <c r="C413" s="456"/>
      <c r="D413" s="456"/>
      <c r="E413" s="456"/>
      <c r="F413" s="456"/>
      <c r="G413" s="456"/>
      <c r="H413" s="456"/>
    </row>
    <row r="414" spans="3:8" x14ac:dyDescent="0.25">
      <c r="C414" s="456"/>
      <c r="D414" s="456"/>
      <c r="E414" s="456"/>
      <c r="F414" s="456"/>
      <c r="G414" s="456"/>
      <c r="H414" s="456"/>
    </row>
    <row r="415" spans="3:8" x14ac:dyDescent="0.25">
      <c r="C415" s="456"/>
      <c r="D415" s="456"/>
      <c r="E415" s="456"/>
      <c r="F415" s="456"/>
      <c r="G415" s="456"/>
      <c r="H415" s="456"/>
    </row>
    <row r="416" spans="3:8" x14ac:dyDescent="0.25">
      <c r="C416" s="456"/>
      <c r="D416" s="456"/>
      <c r="E416" s="456"/>
      <c r="F416" s="456"/>
      <c r="G416" s="456"/>
      <c r="H416" s="456"/>
    </row>
    <row r="417" spans="3:8" x14ac:dyDescent="0.25">
      <c r="C417" s="456"/>
      <c r="D417" s="456"/>
      <c r="E417" s="456"/>
      <c r="F417" s="456"/>
      <c r="G417" s="456"/>
      <c r="H417" s="456"/>
    </row>
    <row r="418" spans="3:8" x14ac:dyDescent="0.25">
      <c r="C418" s="456"/>
      <c r="D418" s="456"/>
      <c r="E418" s="456"/>
      <c r="F418" s="456"/>
      <c r="G418" s="456"/>
      <c r="H418" s="456"/>
    </row>
    <row r="419" spans="3:8" x14ac:dyDescent="0.25">
      <c r="C419" s="456"/>
      <c r="D419" s="456"/>
      <c r="E419" s="456"/>
      <c r="F419" s="456"/>
      <c r="G419" s="456"/>
      <c r="H419" s="456"/>
    </row>
    <row r="420" spans="3:8" x14ac:dyDescent="0.25">
      <c r="C420" s="456"/>
      <c r="D420" s="456"/>
      <c r="E420" s="456"/>
      <c r="F420" s="456"/>
      <c r="G420" s="456"/>
      <c r="H420" s="456"/>
    </row>
    <row r="421" spans="3:8" x14ac:dyDescent="0.25">
      <c r="C421" s="456"/>
      <c r="D421" s="456"/>
      <c r="E421" s="456"/>
      <c r="F421" s="456"/>
      <c r="G421" s="456"/>
      <c r="H421" s="456"/>
    </row>
    <row r="422" spans="3:8" x14ac:dyDescent="0.25">
      <c r="C422" s="456"/>
      <c r="D422" s="456"/>
      <c r="E422" s="456"/>
      <c r="F422" s="456"/>
      <c r="G422" s="456"/>
      <c r="H422" s="456"/>
    </row>
    <row r="423" spans="3:8" x14ac:dyDescent="0.25">
      <c r="C423" s="456"/>
      <c r="D423" s="456"/>
      <c r="E423" s="456"/>
      <c r="F423" s="456"/>
      <c r="G423" s="456"/>
      <c r="H423" s="456"/>
    </row>
    <row r="424" spans="3:8" x14ac:dyDescent="0.25">
      <c r="C424" s="456"/>
      <c r="D424" s="456"/>
      <c r="E424" s="456"/>
      <c r="F424" s="456"/>
      <c r="G424" s="456"/>
      <c r="H424" s="456"/>
    </row>
    <row r="425" spans="3:8" x14ac:dyDescent="0.25">
      <c r="C425" s="456"/>
      <c r="D425" s="456"/>
      <c r="E425" s="456"/>
      <c r="F425" s="456"/>
      <c r="G425" s="456"/>
      <c r="H425" s="456"/>
    </row>
    <row r="426" spans="3:8" x14ac:dyDescent="0.25">
      <c r="C426" s="456"/>
      <c r="D426" s="456"/>
      <c r="E426" s="456"/>
      <c r="F426" s="456"/>
      <c r="G426" s="456"/>
      <c r="H426" s="456"/>
    </row>
    <row r="427" spans="3:8" x14ac:dyDescent="0.25">
      <c r="C427" s="456"/>
      <c r="D427" s="456"/>
      <c r="E427" s="456"/>
      <c r="F427" s="456"/>
      <c r="G427" s="456"/>
      <c r="H427" s="456"/>
    </row>
    <row r="428" spans="3:8" x14ac:dyDescent="0.25">
      <c r="C428" s="456"/>
      <c r="D428" s="456"/>
      <c r="E428" s="456"/>
      <c r="F428" s="456"/>
      <c r="G428" s="456"/>
      <c r="H428" s="456"/>
    </row>
    <row r="429" spans="3:8" x14ac:dyDescent="0.25">
      <c r="C429" s="456"/>
      <c r="D429" s="456"/>
      <c r="E429" s="456"/>
      <c r="F429" s="456"/>
      <c r="G429" s="456"/>
      <c r="H429" s="456"/>
    </row>
    <row r="430" spans="3:8" x14ac:dyDescent="0.25">
      <c r="C430" s="456"/>
      <c r="D430" s="456"/>
      <c r="E430" s="456"/>
      <c r="F430" s="456"/>
      <c r="G430" s="456"/>
      <c r="H430" s="456"/>
    </row>
    <row r="431" spans="3:8" x14ac:dyDescent="0.25">
      <c r="C431" s="456"/>
      <c r="D431" s="456"/>
      <c r="E431" s="456"/>
      <c r="F431" s="456"/>
      <c r="G431" s="456"/>
      <c r="H431" s="456"/>
    </row>
    <row r="432" spans="3:8" x14ac:dyDescent="0.25">
      <c r="C432" s="456"/>
      <c r="D432" s="456"/>
      <c r="E432" s="456"/>
      <c r="F432" s="456"/>
      <c r="G432" s="456"/>
      <c r="H432" s="456"/>
    </row>
    <row r="433" spans="3:8" x14ac:dyDescent="0.25">
      <c r="C433" s="456"/>
      <c r="D433" s="456"/>
      <c r="E433" s="456"/>
      <c r="F433" s="456"/>
      <c r="G433" s="456"/>
      <c r="H433" s="456"/>
    </row>
    <row r="434" spans="3:8" x14ac:dyDescent="0.25">
      <c r="C434" s="456"/>
      <c r="D434" s="456"/>
      <c r="E434" s="456"/>
      <c r="F434" s="456"/>
      <c r="G434" s="456"/>
      <c r="H434" s="456"/>
    </row>
    <row r="435" spans="3:8" x14ac:dyDescent="0.25">
      <c r="C435" s="456"/>
      <c r="D435" s="456"/>
      <c r="E435" s="456"/>
      <c r="F435" s="456"/>
      <c r="G435" s="456"/>
      <c r="H435" s="456"/>
    </row>
    <row r="436" spans="3:8" x14ac:dyDescent="0.25">
      <c r="C436" s="456"/>
      <c r="D436" s="456"/>
      <c r="E436" s="456"/>
      <c r="F436" s="456"/>
      <c r="G436" s="456"/>
      <c r="H436" s="456"/>
    </row>
    <row r="437" spans="3:8" x14ac:dyDescent="0.25">
      <c r="C437" s="456"/>
      <c r="D437" s="456"/>
      <c r="E437" s="456"/>
      <c r="F437" s="456"/>
      <c r="G437" s="456"/>
      <c r="H437" s="456"/>
    </row>
    <row r="438" spans="3:8" x14ac:dyDescent="0.25">
      <c r="C438" s="456"/>
      <c r="D438" s="456"/>
      <c r="E438" s="456"/>
      <c r="F438" s="456"/>
      <c r="G438" s="456"/>
      <c r="H438" s="456"/>
    </row>
    <row r="439" spans="3:8" x14ac:dyDescent="0.25">
      <c r="C439" s="456"/>
      <c r="D439" s="456"/>
      <c r="E439" s="456"/>
      <c r="F439" s="456"/>
      <c r="G439" s="456"/>
      <c r="H439" s="456"/>
    </row>
  </sheetData>
  <mergeCells count="446">
    <mergeCell ref="C243:H243"/>
    <mergeCell ref="C244:H244"/>
    <mergeCell ref="C245:H245"/>
    <mergeCell ref="C247:H247"/>
    <mergeCell ref="C248:H248"/>
    <mergeCell ref="C249:H249"/>
    <mergeCell ref="C251:H251"/>
    <mergeCell ref="A246:J246"/>
    <mergeCell ref="A250:J250"/>
    <mergeCell ref="C242:H242"/>
    <mergeCell ref="C238:H238"/>
    <mergeCell ref="C236:H236"/>
    <mergeCell ref="C237:H237"/>
    <mergeCell ref="C241:H241"/>
    <mergeCell ref="C182:H182"/>
    <mergeCell ref="A183:J183"/>
    <mergeCell ref="C239:H239"/>
    <mergeCell ref="C240:H240"/>
    <mergeCell ref="C186:H186"/>
    <mergeCell ref="C187:H187"/>
    <mergeCell ref="C188:H188"/>
    <mergeCell ref="C203:H203"/>
    <mergeCell ref="C204:H204"/>
    <mergeCell ref="C205:H205"/>
    <mergeCell ref="C206:H206"/>
    <mergeCell ref="C207:H207"/>
    <mergeCell ref="C223:H223"/>
    <mergeCell ref="C224:H224"/>
    <mergeCell ref="C225:H225"/>
    <mergeCell ref="C193:H193"/>
    <mergeCell ref="C194:H194"/>
    <mergeCell ref="C196:H196"/>
    <mergeCell ref="C197:H197"/>
    <mergeCell ref="C119:H119"/>
    <mergeCell ref="C120:H120"/>
    <mergeCell ref="C136:H136"/>
    <mergeCell ref="C121:H121"/>
    <mergeCell ref="A159:J159"/>
    <mergeCell ref="A162:J162"/>
    <mergeCell ref="C163:H163"/>
    <mergeCell ref="C164:H164"/>
    <mergeCell ref="C153:H153"/>
    <mergeCell ref="C154:H154"/>
    <mergeCell ref="C155:H155"/>
    <mergeCell ref="C126:H126"/>
    <mergeCell ref="C122:H122"/>
    <mergeCell ref="C123:H123"/>
    <mergeCell ref="C124:H124"/>
    <mergeCell ref="C134:H134"/>
    <mergeCell ref="C135:H135"/>
    <mergeCell ref="C137:H137"/>
    <mergeCell ref="C127:H127"/>
    <mergeCell ref="C131:H131"/>
    <mergeCell ref="C132:H132"/>
    <mergeCell ref="C133:H133"/>
    <mergeCell ref="C130:H130"/>
    <mergeCell ref="C19:H19"/>
    <mergeCell ref="C20:H20"/>
    <mergeCell ref="C21:H21"/>
    <mergeCell ref="C125:H125"/>
    <mergeCell ref="C128:H128"/>
    <mergeCell ref="C82:H82"/>
    <mergeCell ref="C129:H129"/>
    <mergeCell ref="C115:H115"/>
    <mergeCell ref="C116:H116"/>
    <mergeCell ref="C86:H86"/>
    <mergeCell ref="C101:H101"/>
    <mergeCell ref="C94:H94"/>
    <mergeCell ref="C95:H95"/>
    <mergeCell ref="C96:H96"/>
    <mergeCell ref="C106:H106"/>
    <mergeCell ref="C108:H108"/>
    <mergeCell ref="C22:H22"/>
    <mergeCell ref="C25:H25"/>
    <mergeCell ref="C30:H30"/>
    <mergeCell ref="C31:H31"/>
    <mergeCell ref="C23:H23"/>
    <mergeCell ref="C32:H32"/>
    <mergeCell ref="C117:H117"/>
    <mergeCell ref="C118:H118"/>
    <mergeCell ref="A1:J1"/>
    <mergeCell ref="B2:H2"/>
    <mergeCell ref="I2:J2"/>
    <mergeCell ref="B3:H3"/>
    <mergeCell ref="I3:J3"/>
    <mergeCell ref="B4:H4"/>
    <mergeCell ref="I4:J4"/>
    <mergeCell ref="C17:H17"/>
    <mergeCell ref="C18:H18"/>
    <mergeCell ref="C11:H11"/>
    <mergeCell ref="C12:H12"/>
    <mergeCell ref="C14:H14"/>
    <mergeCell ref="C15:H15"/>
    <mergeCell ref="C16:H16"/>
    <mergeCell ref="C13:H13"/>
    <mergeCell ref="A5:J5"/>
    <mergeCell ref="C6:H6"/>
    <mergeCell ref="A7:J7"/>
    <mergeCell ref="C8:H8"/>
    <mergeCell ref="C9:H9"/>
    <mergeCell ref="C10:H10"/>
    <mergeCell ref="C24:H24"/>
    <mergeCell ref="C26:H26"/>
    <mergeCell ref="C27:H27"/>
    <mergeCell ref="C28:H28"/>
    <mergeCell ref="C29:H29"/>
    <mergeCell ref="C36:H36"/>
    <mergeCell ref="C37:H37"/>
    <mergeCell ref="C60:H60"/>
    <mergeCell ref="C33:H33"/>
    <mergeCell ref="C34:H34"/>
    <mergeCell ref="C35:H35"/>
    <mergeCell ref="C40:H40"/>
    <mergeCell ref="C38:H38"/>
    <mergeCell ref="C39:H39"/>
    <mergeCell ref="C46:H46"/>
    <mergeCell ref="C47:H47"/>
    <mergeCell ref="C48:H48"/>
    <mergeCell ref="C49:H49"/>
    <mergeCell ref="C41:H41"/>
    <mergeCell ref="C44:H44"/>
    <mergeCell ref="C45:H45"/>
    <mergeCell ref="C42:H42"/>
    <mergeCell ref="C43:H43"/>
    <mergeCell ref="C53:H53"/>
    <mergeCell ref="C58:H58"/>
    <mergeCell ref="C59:H59"/>
    <mergeCell ref="C50:H50"/>
    <mergeCell ref="C55:H55"/>
    <mergeCell ref="C56:H56"/>
    <mergeCell ref="C57:H57"/>
    <mergeCell ref="C61:H61"/>
    <mergeCell ref="C52:H52"/>
    <mergeCell ref="C54:H54"/>
    <mergeCell ref="C51:H51"/>
    <mergeCell ref="C62:H62"/>
    <mergeCell ref="C63:H63"/>
    <mergeCell ref="C64:H64"/>
    <mergeCell ref="C69:H69"/>
    <mergeCell ref="C65:H65"/>
    <mergeCell ref="C66:H66"/>
    <mergeCell ref="C67:H67"/>
    <mergeCell ref="C68:H68"/>
    <mergeCell ref="C79:H79"/>
    <mergeCell ref="C70:H70"/>
    <mergeCell ref="C72:H72"/>
    <mergeCell ref="C73:H73"/>
    <mergeCell ref="C74:H74"/>
    <mergeCell ref="C75:H75"/>
    <mergeCell ref="C76:H76"/>
    <mergeCell ref="C77:H77"/>
    <mergeCell ref="C78:H78"/>
    <mergeCell ref="C71:H71"/>
    <mergeCell ref="C81:H81"/>
    <mergeCell ref="C80:H80"/>
    <mergeCell ref="C93:H93"/>
    <mergeCell ref="C87:H87"/>
    <mergeCell ref="C88:H88"/>
    <mergeCell ref="C89:H89"/>
    <mergeCell ref="C90:H90"/>
    <mergeCell ref="C91:H91"/>
    <mergeCell ref="C92:H92"/>
    <mergeCell ref="C83:H83"/>
    <mergeCell ref="C84:H84"/>
    <mergeCell ref="C85:H85"/>
    <mergeCell ref="C109:H109"/>
    <mergeCell ref="C110:H110"/>
    <mergeCell ref="C111:H111"/>
    <mergeCell ref="C113:H113"/>
    <mergeCell ref="C114:H114"/>
    <mergeCell ref="C97:H97"/>
    <mergeCell ref="C98:H98"/>
    <mergeCell ref="C107:H107"/>
    <mergeCell ref="C112:H112"/>
    <mergeCell ref="C102:H102"/>
    <mergeCell ref="C103:H103"/>
    <mergeCell ref="C104:H104"/>
    <mergeCell ref="C105:H105"/>
    <mergeCell ref="C99:H99"/>
    <mergeCell ref="C100:H100"/>
    <mergeCell ref="K152:O152"/>
    <mergeCell ref="K161:O161"/>
    <mergeCell ref="C141:H141"/>
    <mergeCell ref="C138:H138"/>
    <mergeCell ref="C139:H139"/>
    <mergeCell ref="C140:H140"/>
    <mergeCell ref="C145:H145"/>
    <mergeCell ref="C146:H146"/>
    <mergeCell ref="C147:H147"/>
    <mergeCell ref="C148:H148"/>
    <mergeCell ref="C149:H149"/>
    <mergeCell ref="C150:H150"/>
    <mergeCell ref="C157:H157"/>
    <mergeCell ref="A158:J158"/>
    <mergeCell ref="A156:J156"/>
    <mergeCell ref="C160:H160"/>
    <mergeCell ref="A161:J161"/>
    <mergeCell ref="C144:H144"/>
    <mergeCell ref="C142:H142"/>
    <mergeCell ref="C143:H143"/>
    <mergeCell ref="C151:H151"/>
    <mergeCell ref="A152:J152"/>
    <mergeCell ref="K158:O158"/>
    <mergeCell ref="C189:H189"/>
    <mergeCell ref="C190:H190"/>
    <mergeCell ref="C191:H191"/>
    <mergeCell ref="C192:H192"/>
    <mergeCell ref="K183:O183"/>
    <mergeCell ref="A184:J184"/>
    <mergeCell ref="C165:H165"/>
    <mergeCell ref="C176:H176"/>
    <mergeCell ref="C185:H185"/>
    <mergeCell ref="C181:H181"/>
    <mergeCell ref="C166:H166"/>
    <mergeCell ref="C169:H169"/>
    <mergeCell ref="C177:H177"/>
    <mergeCell ref="C178:H178"/>
    <mergeCell ref="C179:H179"/>
    <mergeCell ref="C180:H180"/>
    <mergeCell ref="C167:H167"/>
    <mergeCell ref="C168:H168"/>
    <mergeCell ref="C170:H170"/>
    <mergeCell ref="C171:H171"/>
    <mergeCell ref="C172:H172"/>
    <mergeCell ref="C173:H173"/>
    <mergeCell ref="C174:H174"/>
    <mergeCell ref="C175:H175"/>
    <mergeCell ref="C195:H195"/>
    <mergeCell ref="C226:H226"/>
    <mergeCell ref="C209:H209"/>
    <mergeCell ref="C210:H210"/>
    <mergeCell ref="C222:H222"/>
    <mergeCell ref="C215:H215"/>
    <mergeCell ref="C216:H216"/>
    <mergeCell ref="C217:H217"/>
    <mergeCell ref="C218:H218"/>
    <mergeCell ref="C219:H219"/>
    <mergeCell ref="C220:H220"/>
    <mergeCell ref="C221:H221"/>
    <mergeCell ref="C198:H198"/>
    <mergeCell ref="C199:H199"/>
    <mergeCell ref="C200:H200"/>
    <mergeCell ref="C214:H214"/>
    <mergeCell ref="C201:H201"/>
    <mergeCell ref="C202:H202"/>
    <mergeCell ref="C211:H211"/>
    <mergeCell ref="C212:H212"/>
    <mergeCell ref="C213:H213"/>
    <mergeCell ref="C208:H208"/>
    <mergeCell ref="C234:H234"/>
    <mergeCell ref="C230:H230"/>
    <mergeCell ref="C231:H231"/>
    <mergeCell ref="C232:H232"/>
    <mergeCell ref="C233:H233"/>
    <mergeCell ref="C228:H228"/>
    <mergeCell ref="C229:H229"/>
    <mergeCell ref="C227:H227"/>
    <mergeCell ref="C235:H235"/>
    <mergeCell ref="C257:H257"/>
    <mergeCell ref="C252:H252"/>
    <mergeCell ref="C253:H253"/>
    <mergeCell ref="C254:H254"/>
    <mergeCell ref="C256:H256"/>
    <mergeCell ref="C255:H255"/>
    <mergeCell ref="C273:H273"/>
    <mergeCell ref="C274:H274"/>
    <mergeCell ref="C275:H275"/>
    <mergeCell ref="C266:H266"/>
    <mergeCell ref="C267:H267"/>
    <mergeCell ref="C268:H268"/>
    <mergeCell ref="C269:H269"/>
    <mergeCell ref="C261:H261"/>
    <mergeCell ref="C262:H262"/>
    <mergeCell ref="C263:H263"/>
    <mergeCell ref="C264:H264"/>
    <mergeCell ref="C265:H265"/>
    <mergeCell ref="C258:H258"/>
    <mergeCell ref="C259:H259"/>
    <mergeCell ref="C260:H260"/>
    <mergeCell ref="C276:H276"/>
    <mergeCell ref="C277:H277"/>
    <mergeCell ref="C278:H278"/>
    <mergeCell ref="C270:H270"/>
    <mergeCell ref="C271:H271"/>
    <mergeCell ref="C272:H272"/>
    <mergeCell ref="C285:H285"/>
    <mergeCell ref="C286:H286"/>
    <mergeCell ref="C287:H287"/>
    <mergeCell ref="C288:H288"/>
    <mergeCell ref="C289:H289"/>
    <mergeCell ref="C290:H290"/>
    <mergeCell ref="C279:H279"/>
    <mergeCell ref="C280:H280"/>
    <mergeCell ref="C281:H281"/>
    <mergeCell ref="C282:H282"/>
    <mergeCell ref="C283:H283"/>
    <mergeCell ref="C284:H284"/>
    <mergeCell ref="C297:H297"/>
    <mergeCell ref="C298:H298"/>
    <mergeCell ref="C299:H299"/>
    <mergeCell ref="C300:H300"/>
    <mergeCell ref="C301:H301"/>
    <mergeCell ref="C302:H302"/>
    <mergeCell ref="C291:H291"/>
    <mergeCell ref="C292:H292"/>
    <mergeCell ref="C293:H293"/>
    <mergeCell ref="C294:H294"/>
    <mergeCell ref="C295:H295"/>
    <mergeCell ref="C296:H296"/>
    <mergeCell ref="C309:H309"/>
    <mergeCell ref="C310:H310"/>
    <mergeCell ref="C311:H311"/>
    <mergeCell ref="C312:H312"/>
    <mergeCell ref="C313:H313"/>
    <mergeCell ref="C314:H314"/>
    <mergeCell ref="C303:H303"/>
    <mergeCell ref="C304:H304"/>
    <mergeCell ref="C305:H305"/>
    <mergeCell ref="C306:H306"/>
    <mergeCell ref="C307:H307"/>
    <mergeCell ref="C308:H308"/>
    <mergeCell ref="C321:H321"/>
    <mergeCell ref="C322:H322"/>
    <mergeCell ref="C323:H323"/>
    <mergeCell ref="C324:H324"/>
    <mergeCell ref="C325:H325"/>
    <mergeCell ref="C326:H326"/>
    <mergeCell ref="C315:H315"/>
    <mergeCell ref="C316:H316"/>
    <mergeCell ref="C317:H317"/>
    <mergeCell ref="C318:H318"/>
    <mergeCell ref="C319:H319"/>
    <mergeCell ref="C320:H320"/>
    <mergeCell ref="C333:H333"/>
    <mergeCell ref="C334:H334"/>
    <mergeCell ref="C335:H335"/>
    <mergeCell ref="C336:H336"/>
    <mergeCell ref="C337:H337"/>
    <mergeCell ref="C338:H338"/>
    <mergeCell ref="C327:H327"/>
    <mergeCell ref="C328:H328"/>
    <mergeCell ref="C329:H329"/>
    <mergeCell ref="C330:H330"/>
    <mergeCell ref="C331:H331"/>
    <mergeCell ref="C332:H332"/>
    <mergeCell ref="C345:H345"/>
    <mergeCell ref="C346:H346"/>
    <mergeCell ref="C347:H347"/>
    <mergeCell ref="C348:H348"/>
    <mergeCell ref="C349:H349"/>
    <mergeCell ref="C350:H350"/>
    <mergeCell ref="C339:H339"/>
    <mergeCell ref="C340:H340"/>
    <mergeCell ref="C341:H341"/>
    <mergeCell ref="C342:H342"/>
    <mergeCell ref="C343:H343"/>
    <mergeCell ref="C344:H344"/>
    <mergeCell ref="C357:H357"/>
    <mergeCell ref="C358:H358"/>
    <mergeCell ref="C359:H359"/>
    <mergeCell ref="C360:H360"/>
    <mergeCell ref="C361:H361"/>
    <mergeCell ref="C362:H362"/>
    <mergeCell ref="C351:H351"/>
    <mergeCell ref="C352:H352"/>
    <mergeCell ref="C353:H353"/>
    <mergeCell ref="C354:H354"/>
    <mergeCell ref="C355:H355"/>
    <mergeCell ref="C356:H356"/>
    <mergeCell ref="C369:H369"/>
    <mergeCell ref="C370:H370"/>
    <mergeCell ref="C371:H371"/>
    <mergeCell ref="C372:H372"/>
    <mergeCell ref="C373:H373"/>
    <mergeCell ref="C374:H374"/>
    <mergeCell ref="C363:H363"/>
    <mergeCell ref="C364:H364"/>
    <mergeCell ref="C365:H365"/>
    <mergeCell ref="C366:H366"/>
    <mergeCell ref="C367:H367"/>
    <mergeCell ref="C368:H368"/>
    <mergeCell ref="C381:H381"/>
    <mergeCell ref="C382:H382"/>
    <mergeCell ref="C383:H383"/>
    <mergeCell ref="C384:H384"/>
    <mergeCell ref="C385:H385"/>
    <mergeCell ref="C386:H386"/>
    <mergeCell ref="C375:H375"/>
    <mergeCell ref="C376:H376"/>
    <mergeCell ref="C377:H377"/>
    <mergeCell ref="C378:H378"/>
    <mergeCell ref="C379:H379"/>
    <mergeCell ref="C380:H380"/>
    <mergeCell ref="C393:H393"/>
    <mergeCell ref="C394:H394"/>
    <mergeCell ref="C395:H395"/>
    <mergeCell ref="C396:H396"/>
    <mergeCell ref="C397:H397"/>
    <mergeCell ref="C398:H398"/>
    <mergeCell ref="C387:H387"/>
    <mergeCell ref="C388:H388"/>
    <mergeCell ref="C389:H389"/>
    <mergeCell ref="C390:H390"/>
    <mergeCell ref="C391:H391"/>
    <mergeCell ref="C392:H392"/>
    <mergeCell ref="C411:H411"/>
    <mergeCell ref="C412:H412"/>
    <mergeCell ref="C413:H413"/>
    <mergeCell ref="C429:H429"/>
    <mergeCell ref="C430:H430"/>
    <mergeCell ref="C431:H431"/>
    <mergeCell ref="C432:H432"/>
    <mergeCell ref="C423:H423"/>
    <mergeCell ref="C424:H424"/>
    <mergeCell ref="C425:H425"/>
    <mergeCell ref="C426:H426"/>
    <mergeCell ref="C427:H427"/>
    <mergeCell ref="C428:H428"/>
    <mergeCell ref="C435:H435"/>
    <mergeCell ref="C436:H436"/>
    <mergeCell ref="C437:H437"/>
    <mergeCell ref="C438:H438"/>
    <mergeCell ref="C439:H439"/>
    <mergeCell ref="C433:H433"/>
    <mergeCell ref="C434:H434"/>
    <mergeCell ref="C414:H414"/>
    <mergeCell ref="C415:H415"/>
    <mergeCell ref="C416:H416"/>
    <mergeCell ref="C417:H417"/>
    <mergeCell ref="C418:H418"/>
    <mergeCell ref="C419:H419"/>
    <mergeCell ref="C420:H420"/>
    <mergeCell ref="C421:H421"/>
    <mergeCell ref="C422:H422"/>
    <mergeCell ref="C405:H405"/>
    <mergeCell ref="C406:H406"/>
    <mergeCell ref="C407:H407"/>
    <mergeCell ref="C408:H408"/>
    <mergeCell ref="C409:H409"/>
    <mergeCell ref="C410:H410"/>
    <mergeCell ref="C399:H399"/>
    <mergeCell ref="C400:H400"/>
    <mergeCell ref="C401:H401"/>
    <mergeCell ref="C402:H402"/>
    <mergeCell ref="C403:H403"/>
    <mergeCell ref="C404:H404"/>
  </mergeCells>
  <phoneticPr fontId="19" type="noConversion"/>
  <pageMargins left="0.511811024" right="0.511811024" top="0.78740157499999996" bottom="0.78740157499999996" header="0.31496062000000002" footer="0.31496062000000002"/>
  <drawing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00E58A-C4AA-49EF-9B1D-4679D3C4489A}">
  <dimension ref="A1:P258"/>
  <sheetViews>
    <sheetView zoomScale="70" zoomScaleNormal="70" workbookViewId="0">
      <selection activeCell="A197" sqref="A197:XFD197"/>
    </sheetView>
  </sheetViews>
  <sheetFormatPr defaultRowHeight="15" x14ac:dyDescent="0.25"/>
  <cols>
    <col min="1" max="1" width="20.85546875" style="118" customWidth="1"/>
    <col min="2" max="2" width="19.42578125" style="118" customWidth="1"/>
    <col min="3" max="3" width="21.140625" style="118" customWidth="1"/>
    <col min="4" max="4" width="82.5703125" style="118" customWidth="1"/>
    <col min="5" max="5" width="11.85546875" style="118" customWidth="1"/>
    <col min="6" max="6" width="13" style="118" bestFit="1" customWidth="1"/>
    <col min="7" max="7" width="19.5703125" style="245" customWidth="1"/>
    <col min="8" max="8" width="23.140625" style="245" customWidth="1"/>
    <col min="9" max="9" width="22.140625" style="178" bestFit="1" customWidth="1"/>
    <col min="10" max="16384" width="9.140625" style="118"/>
  </cols>
  <sheetData>
    <row r="1" spans="1:16" s="183" customFormat="1" ht="90" customHeight="1" thickBot="1" x14ac:dyDescent="0.3">
      <c r="A1" s="442" t="s">
        <v>800</v>
      </c>
      <c r="B1" s="443"/>
      <c r="C1" s="443"/>
      <c r="D1" s="443"/>
      <c r="E1" s="443"/>
      <c r="F1" s="443"/>
      <c r="G1" s="443"/>
      <c r="H1" s="484"/>
      <c r="I1" s="322"/>
      <c r="M1" s="175"/>
      <c r="N1" s="265"/>
      <c r="O1" s="175"/>
      <c r="P1" s="266"/>
    </row>
    <row r="2" spans="1:16" s="183" customFormat="1" ht="21.75" customHeight="1" x14ac:dyDescent="0.25">
      <c r="A2" s="141" t="s">
        <v>235</v>
      </c>
      <c r="B2" s="223" t="s">
        <v>118</v>
      </c>
      <c r="C2" s="224"/>
      <c r="D2" s="25"/>
      <c r="E2" s="26"/>
      <c r="F2" s="26"/>
      <c r="G2" s="26"/>
      <c r="H2" s="225">
        <f>BDI!$Z$21</f>
        <v>0.22470000000000001</v>
      </c>
      <c r="I2" s="323"/>
      <c r="M2" s="217"/>
      <c r="N2" s="265"/>
      <c r="O2" s="175"/>
      <c r="P2" s="266"/>
    </row>
    <row r="3" spans="1:16" s="183" customFormat="1" ht="18.75" customHeight="1" x14ac:dyDescent="0.25">
      <c r="A3" s="142" t="s">
        <v>236</v>
      </c>
      <c r="B3" s="226" t="s">
        <v>121</v>
      </c>
      <c r="C3" s="227"/>
      <c r="D3" s="131"/>
      <c r="E3" s="130"/>
      <c r="F3" s="130"/>
      <c r="G3" s="130"/>
      <c r="H3" s="228" t="s">
        <v>796</v>
      </c>
      <c r="I3" s="323"/>
      <c r="M3" s="217"/>
      <c r="N3" s="265"/>
      <c r="O3" s="175"/>
      <c r="P3" s="266"/>
    </row>
    <row r="4" spans="1:16" s="183" customFormat="1" ht="19.5" customHeight="1" thickBot="1" x14ac:dyDescent="0.3">
      <c r="A4" s="143" t="s">
        <v>87</v>
      </c>
      <c r="B4" s="229" t="s">
        <v>635</v>
      </c>
      <c r="C4" s="27"/>
      <c r="D4" s="28"/>
      <c r="E4" s="29"/>
      <c r="F4" s="29"/>
      <c r="G4" s="29"/>
      <c r="H4" s="230" t="s">
        <v>727</v>
      </c>
      <c r="I4" s="323"/>
      <c r="M4" s="217"/>
      <c r="N4" s="265"/>
      <c r="O4" s="175"/>
      <c r="P4" s="266"/>
    </row>
    <row r="5" spans="1:16" s="183" customFormat="1" ht="15.75" thickBot="1" x14ac:dyDescent="0.3">
      <c r="A5" s="145"/>
      <c r="B5" s="127"/>
      <c r="C5" s="127"/>
      <c r="D5" s="127"/>
      <c r="E5" s="127"/>
      <c r="F5" s="127"/>
      <c r="G5" s="127"/>
      <c r="H5" s="128"/>
      <c r="I5" s="324"/>
      <c r="M5" s="175" t="str">
        <f>UPPER(TRIM(B5))</f>
        <v/>
      </c>
      <c r="N5" s="265" t="str">
        <f>UPPER(TRIM(D5))</f>
        <v/>
      </c>
      <c r="O5" s="175" t="str">
        <f>UPPER(TRIM(E5))</f>
        <v/>
      </c>
      <c r="P5" s="266"/>
    </row>
    <row r="6" spans="1:16" s="1" customFormat="1" ht="40.5" customHeight="1" thickBot="1" x14ac:dyDescent="0.3">
      <c r="A6" s="136" t="s">
        <v>89</v>
      </c>
      <c r="B6" s="137" t="s">
        <v>618</v>
      </c>
      <c r="C6" s="138" t="s">
        <v>619</v>
      </c>
      <c r="D6" s="138" t="s">
        <v>90</v>
      </c>
      <c r="E6" s="139" t="s">
        <v>177</v>
      </c>
      <c r="F6" s="139" t="s">
        <v>271</v>
      </c>
      <c r="G6" s="139" t="s">
        <v>620</v>
      </c>
      <c r="H6" s="140" t="s">
        <v>622</v>
      </c>
      <c r="I6" s="325"/>
      <c r="L6" s="2"/>
    </row>
    <row r="7" spans="1:16" s="183" customFormat="1" x14ac:dyDescent="0.25">
      <c r="A7" s="231"/>
      <c r="B7" s="232"/>
      <c r="C7" s="232"/>
      <c r="D7" s="232"/>
      <c r="E7" s="232"/>
      <c r="F7" s="232"/>
      <c r="G7" s="233"/>
      <c r="H7" s="234"/>
      <c r="I7" s="178"/>
    </row>
    <row r="8" spans="1:16" ht="30" x14ac:dyDescent="0.25">
      <c r="A8" s="173" t="str">
        <f>Orçamento!A27</f>
        <v>3.4</v>
      </c>
      <c r="B8" s="282" t="str">
        <f>Orçamento!B27</f>
        <v>TJMMG-CP-01</v>
      </c>
      <c r="C8" s="282" t="str">
        <f>Orçamento!C27</f>
        <v>PRÓPRIO</v>
      </c>
      <c r="D8" s="283" t="str">
        <f>Orçamento!D27</f>
        <v>DEMOLIÇÃO MANUAL DE DIVISÓRIA DE DRYWALL, INCLUSIVE AFASTAMENTO E EMPILHAMENTO, EXCLUSIVE TRANSPORTE E RETIRADA DO MATERIAL DEMOLIDO</v>
      </c>
      <c r="E8" s="282" t="str">
        <f>Orçamento!E27</f>
        <v>M²</v>
      </c>
      <c r="F8" s="284">
        <v>1</v>
      </c>
      <c r="G8" s="180">
        <f>SUM(H9:H10)</f>
        <v>10.711251558000001</v>
      </c>
      <c r="H8" s="181">
        <f>G8*F8</f>
        <v>10.711251558000001</v>
      </c>
    </row>
    <row r="9" spans="1:16" x14ac:dyDescent="0.25">
      <c r="A9" s="174"/>
      <c r="B9" s="276" t="s">
        <v>632</v>
      </c>
      <c r="C9" s="175" t="s">
        <v>8</v>
      </c>
      <c r="D9" s="277" t="s">
        <v>44</v>
      </c>
      <c r="E9" s="175" t="s">
        <v>114</v>
      </c>
      <c r="F9" s="285">
        <v>0.15277779999999999</v>
      </c>
      <c r="G9" s="176">
        <v>30.59</v>
      </c>
      <c r="H9" s="177">
        <f>G9*F9</f>
        <v>4.6734729019999994</v>
      </c>
    </row>
    <row r="10" spans="1:16" x14ac:dyDescent="0.25">
      <c r="A10" s="174"/>
      <c r="B10" s="276" t="s">
        <v>633</v>
      </c>
      <c r="C10" s="175" t="s">
        <v>8</v>
      </c>
      <c r="D10" s="277" t="s">
        <v>22</v>
      </c>
      <c r="E10" s="175" t="s">
        <v>114</v>
      </c>
      <c r="F10" s="285">
        <v>0.30555559999999998</v>
      </c>
      <c r="G10" s="176">
        <v>19.760000000000002</v>
      </c>
      <c r="H10" s="177">
        <f>G10*F10</f>
        <v>6.0377786560000004</v>
      </c>
    </row>
    <row r="11" spans="1:16" ht="36" customHeight="1" x14ac:dyDescent="0.25">
      <c r="A11" s="485" t="s">
        <v>726</v>
      </c>
      <c r="B11" s="486"/>
      <c r="C11" s="486"/>
      <c r="D11" s="486"/>
      <c r="E11" s="486"/>
      <c r="F11" s="486"/>
      <c r="G11" s="486"/>
      <c r="H11" s="487"/>
    </row>
    <row r="12" spans="1:16" s="183" customFormat="1" x14ac:dyDescent="0.25">
      <c r="A12" s="174"/>
      <c r="B12" s="175"/>
      <c r="C12" s="175"/>
      <c r="D12" s="175"/>
      <c r="E12" s="175"/>
      <c r="F12" s="278"/>
      <c r="G12" s="176"/>
      <c r="H12" s="177"/>
      <c r="I12" s="178"/>
    </row>
    <row r="13" spans="1:16" ht="30" x14ac:dyDescent="0.25">
      <c r="A13" s="173" t="str">
        <f>Orçamento!A31</f>
        <v>3.8</v>
      </c>
      <c r="B13" s="282" t="str">
        <f>Orçamento!B31</f>
        <v>TJMMG-CP-02</v>
      </c>
      <c r="C13" s="282" t="str">
        <f>Orçamento!C31</f>
        <v>PRÓPRIO</v>
      </c>
      <c r="D13" s="283" t="str">
        <f>Orçamento!D31</f>
        <v xml:space="preserve">REMOÇÃO DE MOBILIÁRIOS: MESAS, CADEIRAS, SOFÁS, ARMÁRIOS, PRATELEIRAS, PERSIANAS, ETC. </v>
      </c>
      <c r="E13" s="282" t="str">
        <f>Orçamento!E31</f>
        <v>UN</v>
      </c>
      <c r="F13" s="284">
        <v>1</v>
      </c>
      <c r="G13" s="180">
        <f>H14</f>
        <v>19.760000000000002</v>
      </c>
      <c r="H13" s="181">
        <f>G13*F13</f>
        <v>19.760000000000002</v>
      </c>
    </row>
    <row r="14" spans="1:16" x14ac:dyDescent="0.25">
      <c r="A14" s="174"/>
      <c r="B14" s="276" t="s">
        <v>292</v>
      </c>
      <c r="C14" s="175" t="s">
        <v>19</v>
      </c>
      <c r="D14" s="277" t="s">
        <v>84</v>
      </c>
      <c r="E14" s="175" t="s">
        <v>112</v>
      </c>
      <c r="F14" s="278">
        <v>1</v>
      </c>
      <c r="G14" s="176">
        <v>19.760000000000002</v>
      </c>
      <c r="H14" s="177">
        <f>G14*F14</f>
        <v>19.760000000000002</v>
      </c>
    </row>
    <row r="15" spans="1:16" s="183" customFormat="1" x14ac:dyDescent="0.25">
      <c r="A15" s="174"/>
      <c r="B15" s="175"/>
      <c r="C15" s="175"/>
      <c r="D15" s="175"/>
      <c r="E15" s="175"/>
      <c r="F15" s="278"/>
      <c r="G15" s="176"/>
      <c r="H15" s="177"/>
      <c r="I15" s="178"/>
    </row>
    <row r="16" spans="1:16" x14ac:dyDescent="0.25">
      <c r="A16" s="173" t="str">
        <f>Orçamento!A32</f>
        <v>3.9</v>
      </c>
      <c r="B16" s="282" t="str">
        <f>Orçamento!B32</f>
        <v>TJMMG-CP-03</v>
      </c>
      <c r="C16" s="282" t="str">
        <f>Orçamento!C32</f>
        <v>PRÓPRIO</v>
      </c>
      <c r="D16" s="283" t="str">
        <f>Orçamento!D32</f>
        <v xml:space="preserve">REMANEJAMENTO DE MOBILIÁRIOS PARA TROCA DE PISO </v>
      </c>
      <c r="E16" s="282" t="str">
        <f>Orçamento!E32</f>
        <v>UN</v>
      </c>
      <c r="F16" s="284">
        <v>1</v>
      </c>
      <c r="G16" s="180">
        <f>H17</f>
        <v>39.520000000000003</v>
      </c>
      <c r="H16" s="181">
        <f>G16*F16</f>
        <v>39.520000000000003</v>
      </c>
    </row>
    <row r="17" spans="1:9" x14ac:dyDescent="0.25">
      <c r="A17" s="174"/>
      <c r="B17" s="276" t="s">
        <v>292</v>
      </c>
      <c r="C17" s="175" t="s">
        <v>19</v>
      </c>
      <c r="D17" s="277" t="s">
        <v>84</v>
      </c>
      <c r="E17" s="175" t="s">
        <v>112</v>
      </c>
      <c r="F17" s="278">
        <v>2</v>
      </c>
      <c r="G17" s="176">
        <v>19.760000000000002</v>
      </c>
      <c r="H17" s="177">
        <f>G17*F17</f>
        <v>39.520000000000003</v>
      </c>
    </row>
    <row r="18" spans="1:9" s="183" customFormat="1" x14ac:dyDescent="0.25">
      <c r="A18" s="174"/>
      <c r="B18" s="175"/>
      <c r="C18" s="175"/>
      <c r="D18" s="175"/>
      <c r="E18" s="175"/>
      <c r="F18" s="278"/>
      <c r="G18" s="176"/>
      <c r="H18" s="177"/>
      <c r="I18" s="178"/>
    </row>
    <row r="19" spans="1:9" s="175" customFormat="1" x14ac:dyDescent="0.25">
      <c r="A19" s="173" t="str">
        <f>Orçamento!A42</f>
        <v>4.3</v>
      </c>
      <c r="B19" s="282" t="str">
        <f>Orçamento!B42</f>
        <v>TJMMG-CP-04</v>
      </c>
      <c r="C19" s="282" t="str">
        <f>Orçamento!C42</f>
        <v>PRÓPRIO</v>
      </c>
      <c r="D19" s="283" t="str">
        <f>Orçamento!D42</f>
        <v xml:space="preserve">RECOMPOSIÇÃO DE PAREDE (FURO DE PASSAGEM DO EXAUSTOR) </v>
      </c>
      <c r="E19" s="282" t="str">
        <f>Orçamento!E42</f>
        <v xml:space="preserve">UN </v>
      </c>
      <c r="F19" s="284">
        <v>1</v>
      </c>
      <c r="G19" s="180">
        <f>SUM(H20:H24)</f>
        <v>110.51</v>
      </c>
      <c r="H19" s="181">
        <f>G19*F19</f>
        <v>110.51</v>
      </c>
      <c r="I19" s="217"/>
    </row>
    <row r="20" spans="1:9" x14ac:dyDescent="0.25">
      <c r="A20" s="174" t="s">
        <v>149</v>
      </c>
      <c r="B20" s="175">
        <v>37595</v>
      </c>
      <c r="C20" s="175" t="s">
        <v>19</v>
      </c>
      <c r="D20" s="277" t="s">
        <v>47</v>
      </c>
      <c r="E20" s="175" t="s">
        <v>104</v>
      </c>
      <c r="F20" s="278">
        <v>5</v>
      </c>
      <c r="G20" s="176">
        <v>1.99</v>
      </c>
      <c r="H20" s="177">
        <f t="shared" ref="H20:H21" si="0">G20*F20</f>
        <v>9.9499999999999993</v>
      </c>
      <c r="I20" s="326"/>
    </row>
    <row r="21" spans="1:9" x14ac:dyDescent="0.25">
      <c r="A21" s="174" t="s">
        <v>149</v>
      </c>
      <c r="B21" s="175" t="s">
        <v>685</v>
      </c>
      <c r="C21" s="175" t="s">
        <v>8</v>
      </c>
      <c r="D21" s="277" t="s">
        <v>85</v>
      </c>
      <c r="E21" s="175" t="s">
        <v>112</v>
      </c>
      <c r="F21" s="278">
        <v>1</v>
      </c>
      <c r="G21" s="176">
        <v>27.45</v>
      </c>
      <c r="H21" s="177">
        <f t="shared" si="0"/>
        <v>27.45</v>
      </c>
      <c r="I21" s="326"/>
    </row>
    <row r="22" spans="1:9" x14ac:dyDescent="0.25">
      <c r="A22" s="174" t="s">
        <v>149</v>
      </c>
      <c r="B22" s="175">
        <v>88316</v>
      </c>
      <c r="C22" s="175" t="s">
        <v>19</v>
      </c>
      <c r="D22" s="175" t="s">
        <v>22</v>
      </c>
      <c r="E22" s="175" t="s">
        <v>112</v>
      </c>
      <c r="F22" s="278">
        <v>2</v>
      </c>
      <c r="G22" s="176">
        <v>19.760000000000002</v>
      </c>
      <c r="H22" s="177">
        <f>G22*F22</f>
        <v>39.520000000000003</v>
      </c>
      <c r="I22" s="326"/>
    </row>
    <row r="23" spans="1:9" ht="30" x14ac:dyDescent="0.25">
      <c r="A23" s="174" t="s">
        <v>149</v>
      </c>
      <c r="B23" s="276" t="s">
        <v>28</v>
      </c>
      <c r="C23" s="175" t="s">
        <v>8</v>
      </c>
      <c r="D23" s="277" t="s">
        <v>29</v>
      </c>
      <c r="E23" s="175" t="s">
        <v>114</v>
      </c>
      <c r="F23" s="278">
        <v>1</v>
      </c>
      <c r="G23" s="176">
        <v>18.45</v>
      </c>
      <c r="H23" s="177">
        <f t="shared" ref="H23" si="1">G23*F23</f>
        <v>18.45</v>
      </c>
    </row>
    <row r="24" spans="1:9" ht="30" x14ac:dyDescent="0.25">
      <c r="A24" s="174" t="s">
        <v>149</v>
      </c>
      <c r="B24" s="276" t="s">
        <v>634</v>
      </c>
      <c r="C24" s="175" t="s">
        <v>8</v>
      </c>
      <c r="D24" s="277" t="s">
        <v>33</v>
      </c>
      <c r="E24" s="175" t="s">
        <v>114</v>
      </c>
      <c r="F24" s="278">
        <v>1</v>
      </c>
      <c r="G24" s="176">
        <v>15.14</v>
      </c>
      <c r="H24" s="177">
        <f t="shared" ref="H24" si="2">G24*F24</f>
        <v>15.14</v>
      </c>
    </row>
    <row r="25" spans="1:9" x14ac:dyDescent="0.25">
      <c r="A25" s="174"/>
      <c r="B25" s="276"/>
      <c r="C25" s="175"/>
      <c r="D25" s="277"/>
      <c r="E25" s="175"/>
      <c r="F25" s="278"/>
      <c r="G25" s="176"/>
      <c r="H25" s="177"/>
    </row>
    <row r="26" spans="1:9" ht="30" x14ac:dyDescent="0.25">
      <c r="A26" s="173" t="str">
        <f>Orçamento!$A$46</f>
        <v>5.2</v>
      </c>
      <c r="B26" s="282" t="str">
        <f>Orçamento!$B$46</f>
        <v>TJMMG-CP-05</v>
      </c>
      <c r="C26" s="282" t="str">
        <f>Orçamento!$C$46</f>
        <v>PRÓPRIO</v>
      </c>
      <c r="D26" s="283" t="s">
        <v>469</v>
      </c>
      <c r="E26" s="282" t="s">
        <v>114</v>
      </c>
      <c r="F26" s="284">
        <v>1</v>
      </c>
      <c r="G26" s="180">
        <f ca="1">SUM(H27:H34)</f>
        <v>172.63745471830987</v>
      </c>
      <c r="H26" s="181">
        <f ca="1">G26*F26</f>
        <v>172.63745471830987</v>
      </c>
    </row>
    <row r="27" spans="1:9" ht="30" x14ac:dyDescent="0.25">
      <c r="A27" s="174"/>
      <c r="B27" s="175">
        <v>39427</v>
      </c>
      <c r="C27" s="175" t="s">
        <v>19</v>
      </c>
      <c r="D27" s="277" t="s">
        <v>364</v>
      </c>
      <c r="E27" s="175" t="s">
        <v>156</v>
      </c>
      <c r="F27" s="278">
        <v>3.851</v>
      </c>
      <c r="G27" s="176">
        <v>5.4</v>
      </c>
      <c r="H27" s="177">
        <f>G27*F27</f>
        <v>20.795400000000001</v>
      </c>
    </row>
    <row r="28" spans="1:9" ht="30" x14ac:dyDescent="0.25">
      <c r="A28" s="174"/>
      <c r="B28" s="175">
        <v>39430</v>
      </c>
      <c r="C28" s="175" t="s">
        <v>19</v>
      </c>
      <c r="D28" s="277" t="s">
        <v>366</v>
      </c>
      <c r="E28" s="175" t="s">
        <v>177</v>
      </c>
      <c r="F28" s="278">
        <v>1.3265</v>
      </c>
      <c r="G28" s="176">
        <v>2.0299999999999998</v>
      </c>
      <c r="H28" s="177">
        <f t="shared" ref="H28:H34" si="3">G28*F28</f>
        <v>2.6927949999999998</v>
      </c>
    </row>
    <row r="29" spans="1:9" x14ac:dyDescent="0.25">
      <c r="A29" s="174"/>
      <c r="B29" s="175">
        <v>40547</v>
      </c>
      <c r="C29" s="175" t="s">
        <v>19</v>
      </c>
      <c r="D29" s="277" t="s">
        <v>368</v>
      </c>
      <c r="E29" s="175" t="s">
        <v>369</v>
      </c>
      <c r="F29" s="278">
        <v>1.32E-2</v>
      </c>
      <c r="G29" s="176">
        <v>35.35</v>
      </c>
      <c r="H29" s="177">
        <f t="shared" si="3"/>
        <v>0.46662000000000003</v>
      </c>
    </row>
    <row r="30" spans="1:9" ht="45" x14ac:dyDescent="0.25">
      <c r="A30" s="174"/>
      <c r="B30" s="175">
        <v>43131</v>
      </c>
      <c r="C30" s="175" t="s">
        <v>19</v>
      </c>
      <c r="D30" s="277" t="s">
        <v>371</v>
      </c>
      <c r="E30" s="175" t="s">
        <v>104</v>
      </c>
      <c r="F30" s="278">
        <v>4.2599999999999999E-2</v>
      </c>
      <c r="G30" s="176">
        <v>29.5</v>
      </c>
      <c r="H30" s="177">
        <f t="shared" si="3"/>
        <v>1.2566999999999999</v>
      </c>
    </row>
    <row r="31" spans="1:9" x14ac:dyDescent="0.25">
      <c r="A31" s="174"/>
      <c r="B31" s="175">
        <v>88278</v>
      </c>
      <c r="C31" s="175" t="s">
        <v>19</v>
      </c>
      <c r="D31" s="277" t="s">
        <v>372</v>
      </c>
      <c r="E31" s="175" t="s">
        <v>112</v>
      </c>
      <c r="F31" s="278">
        <v>0.36280000000000001</v>
      </c>
      <c r="G31" s="176">
        <v>32.14</v>
      </c>
      <c r="H31" s="177">
        <f t="shared" si="3"/>
        <v>11.660392</v>
      </c>
    </row>
    <row r="32" spans="1:9" x14ac:dyDescent="0.25">
      <c r="A32" s="174"/>
      <c r="B32" s="175">
        <v>88316</v>
      </c>
      <c r="C32" s="175" t="s">
        <v>19</v>
      </c>
      <c r="D32" s="277" t="s">
        <v>84</v>
      </c>
      <c r="E32" s="175" t="s">
        <v>112</v>
      </c>
      <c r="F32" s="278">
        <v>0.36280000000000001</v>
      </c>
      <c r="G32" s="176">
        <v>19.760000000000002</v>
      </c>
      <c r="H32" s="177">
        <f t="shared" si="3"/>
        <v>7.1689280000000011</v>
      </c>
    </row>
    <row r="33" spans="1:8" ht="30" x14ac:dyDescent="0.25">
      <c r="A33" s="174"/>
      <c r="B33" s="276" t="str">
        <f>'COT.'!$A$20</f>
        <v>COT-03</v>
      </c>
      <c r="C33" s="175" t="s">
        <v>23</v>
      </c>
      <c r="D33" s="277" t="s">
        <v>469</v>
      </c>
      <c r="E33" s="175" t="s">
        <v>114</v>
      </c>
      <c r="F33" s="278">
        <v>1.1000000000000001</v>
      </c>
      <c r="G33" s="179">
        <f ca="1">'COT.'!$E$20</f>
        <v>107.30601792573623</v>
      </c>
      <c r="H33" s="177">
        <f t="shared" ca="1" si="3"/>
        <v>118.03661971830986</v>
      </c>
    </row>
    <row r="34" spans="1:8" x14ac:dyDescent="0.25">
      <c r="A34" s="174"/>
      <c r="B34" s="276" t="str">
        <f>'COT.'!$A$38</f>
        <v>COT-06</v>
      </c>
      <c r="C34" s="175" t="s">
        <v>23</v>
      </c>
      <c r="D34" s="277" t="s">
        <v>361</v>
      </c>
      <c r="E34" s="175" t="s">
        <v>177</v>
      </c>
      <c r="F34" s="278">
        <v>3.2</v>
      </c>
      <c r="G34" s="179">
        <f ca="1">'COT.'!$E$38</f>
        <v>3.3</v>
      </c>
      <c r="H34" s="216">
        <f t="shared" ca="1" si="3"/>
        <v>10.56</v>
      </c>
    </row>
    <row r="35" spans="1:8" x14ac:dyDescent="0.25">
      <c r="A35" s="174"/>
      <c r="B35" s="276"/>
      <c r="C35" s="175"/>
      <c r="D35" s="277"/>
      <c r="E35" s="175"/>
      <c r="F35" s="278"/>
      <c r="G35" s="179"/>
      <c r="H35" s="216"/>
    </row>
    <row r="36" spans="1:8" ht="30" x14ac:dyDescent="0.25">
      <c r="A36" s="173" t="str">
        <f>Orçamento!$A$47</f>
        <v>5.3</v>
      </c>
      <c r="B36" s="282" t="str">
        <f>Orçamento!$B$47</f>
        <v>TJMMG-CP-06</v>
      </c>
      <c r="C36" s="282" t="str">
        <f>Orçamento!$C$47</f>
        <v>PRÓPRIO</v>
      </c>
      <c r="D36" s="283" t="s">
        <v>470</v>
      </c>
      <c r="E36" s="282" t="s">
        <v>114</v>
      </c>
      <c r="F36" s="284">
        <v>1</v>
      </c>
      <c r="G36" s="180">
        <f ca="1">SUM(H37:H44)</f>
        <v>192.2753038644689</v>
      </c>
      <c r="H36" s="181">
        <f ca="1">G36*F36</f>
        <v>192.2753038644689</v>
      </c>
    </row>
    <row r="37" spans="1:8" ht="30" x14ac:dyDescent="0.25">
      <c r="A37" s="174"/>
      <c r="B37" s="175">
        <v>39427</v>
      </c>
      <c r="C37" s="175" t="s">
        <v>19</v>
      </c>
      <c r="D37" s="277" t="s">
        <v>364</v>
      </c>
      <c r="E37" s="175" t="s">
        <v>156</v>
      </c>
      <c r="F37" s="278">
        <v>3.851</v>
      </c>
      <c r="G37" s="176">
        <v>5.4</v>
      </c>
      <c r="H37" s="177">
        <f>G37*F37</f>
        <v>20.795400000000001</v>
      </c>
    </row>
    <row r="38" spans="1:8" ht="30" x14ac:dyDescent="0.25">
      <c r="A38" s="174"/>
      <c r="B38" s="175">
        <v>39430</v>
      </c>
      <c r="C38" s="175" t="s">
        <v>19</v>
      </c>
      <c r="D38" s="277" t="s">
        <v>366</v>
      </c>
      <c r="E38" s="175" t="s">
        <v>177</v>
      </c>
      <c r="F38" s="278">
        <v>1.3265</v>
      </c>
      <c r="G38" s="176">
        <v>2.0299999999999998</v>
      </c>
      <c r="H38" s="177">
        <f t="shared" ref="H38:H44" si="4">G38*F38</f>
        <v>2.6927949999999998</v>
      </c>
    </row>
    <row r="39" spans="1:8" x14ac:dyDescent="0.25">
      <c r="A39" s="174"/>
      <c r="B39" s="175">
        <v>40547</v>
      </c>
      <c r="C39" s="175" t="s">
        <v>19</v>
      </c>
      <c r="D39" s="277" t="s">
        <v>368</v>
      </c>
      <c r="E39" s="175" t="s">
        <v>369</v>
      </c>
      <c r="F39" s="278">
        <v>1.32E-2</v>
      </c>
      <c r="G39" s="176">
        <v>35.35</v>
      </c>
      <c r="H39" s="177">
        <f t="shared" si="4"/>
        <v>0.46662000000000003</v>
      </c>
    </row>
    <row r="40" spans="1:8" ht="45" x14ac:dyDescent="0.25">
      <c r="A40" s="174"/>
      <c r="B40" s="175">
        <v>43131</v>
      </c>
      <c r="C40" s="175" t="s">
        <v>19</v>
      </c>
      <c r="D40" s="277" t="s">
        <v>371</v>
      </c>
      <c r="E40" s="175" t="s">
        <v>104</v>
      </c>
      <c r="F40" s="278">
        <v>4.2599999999999999E-2</v>
      </c>
      <c r="G40" s="176">
        <v>29.5</v>
      </c>
      <c r="H40" s="177">
        <f t="shared" si="4"/>
        <v>1.2566999999999999</v>
      </c>
    </row>
    <row r="41" spans="1:8" x14ac:dyDescent="0.25">
      <c r="A41" s="174"/>
      <c r="B41" s="175">
        <v>88278</v>
      </c>
      <c r="C41" s="175" t="s">
        <v>19</v>
      </c>
      <c r="D41" s="277" t="s">
        <v>372</v>
      </c>
      <c r="E41" s="175" t="s">
        <v>112</v>
      </c>
      <c r="F41" s="278">
        <v>0.36280000000000001</v>
      </c>
      <c r="G41" s="176">
        <v>32.14</v>
      </c>
      <c r="H41" s="177">
        <f t="shared" si="4"/>
        <v>11.660392</v>
      </c>
    </row>
    <row r="42" spans="1:8" x14ac:dyDescent="0.25">
      <c r="A42" s="174"/>
      <c r="B42" s="175">
        <v>88316</v>
      </c>
      <c r="C42" s="175" t="s">
        <v>19</v>
      </c>
      <c r="D42" s="277" t="s">
        <v>84</v>
      </c>
      <c r="E42" s="175" t="s">
        <v>112</v>
      </c>
      <c r="F42" s="278">
        <v>0.36280000000000001</v>
      </c>
      <c r="G42" s="176">
        <v>19.760000000000002</v>
      </c>
      <c r="H42" s="177">
        <f t="shared" si="4"/>
        <v>7.1689280000000011</v>
      </c>
    </row>
    <row r="43" spans="1:8" ht="30" x14ac:dyDescent="0.25">
      <c r="A43" s="174"/>
      <c r="B43" s="276" t="str">
        <f>'COT.'!$A$26</f>
        <v>COT-04</v>
      </c>
      <c r="C43" s="175" t="s">
        <v>23</v>
      </c>
      <c r="D43" s="277" t="s">
        <v>470</v>
      </c>
      <c r="E43" s="175" t="s">
        <v>114</v>
      </c>
      <c r="F43" s="278">
        <v>1.1000000000000001</v>
      </c>
      <c r="G43" s="179">
        <f ca="1">'COT.'!$E$26</f>
        <v>115.55860805860807</v>
      </c>
      <c r="H43" s="177">
        <f t="shared" ca="1" si="4"/>
        <v>127.11446886446889</v>
      </c>
    </row>
    <row r="44" spans="1:8" x14ac:dyDescent="0.25">
      <c r="A44" s="174"/>
      <c r="B44" s="276" t="str">
        <f>'COT.'!$A$38</f>
        <v>COT-06</v>
      </c>
      <c r="C44" s="175" t="s">
        <v>23</v>
      </c>
      <c r="D44" s="277" t="s">
        <v>361</v>
      </c>
      <c r="E44" s="175" t="s">
        <v>177</v>
      </c>
      <c r="F44" s="278">
        <f>(2/1.25)*4</f>
        <v>6.4</v>
      </c>
      <c r="G44" s="179">
        <f ca="1">'COT.'!$E$38</f>
        <v>3.3</v>
      </c>
      <c r="H44" s="216">
        <f t="shared" ca="1" si="4"/>
        <v>21.12</v>
      </c>
    </row>
    <row r="45" spans="1:8" x14ac:dyDescent="0.25">
      <c r="A45" s="174"/>
      <c r="B45" s="276"/>
      <c r="C45" s="175"/>
      <c r="D45" s="277"/>
      <c r="E45" s="175"/>
      <c r="F45" s="278"/>
      <c r="G45" s="179"/>
      <c r="H45" s="216"/>
    </row>
    <row r="46" spans="1:8" ht="45" x14ac:dyDescent="0.25">
      <c r="A46" s="173" t="str">
        <f>Orçamento!A48</f>
        <v>5.4</v>
      </c>
      <c r="B46" s="282" t="str">
        <f>Orçamento!B48</f>
        <v>TJMMG-CP-07</v>
      </c>
      <c r="C46" s="282" t="str">
        <f>Orçamento!C48</f>
        <v>PRÓPRIO</v>
      </c>
      <c r="D46" s="283" t="s">
        <v>670</v>
      </c>
      <c r="E46" s="282" t="str">
        <f>Orçamento!E48</f>
        <v>M²</v>
      </c>
      <c r="F46" s="284">
        <v>1</v>
      </c>
      <c r="G46" s="180">
        <f>SUM(H47:H61)</f>
        <v>79.111449888999999</v>
      </c>
      <c r="H46" s="181">
        <f>G46*F46</f>
        <v>79.111449888999999</v>
      </c>
    </row>
    <row r="47" spans="1:8" ht="30" x14ac:dyDescent="0.25">
      <c r="A47" s="174"/>
      <c r="B47" s="175" t="s">
        <v>642</v>
      </c>
      <c r="C47" s="175" t="s">
        <v>8</v>
      </c>
      <c r="D47" s="277" t="s">
        <v>641</v>
      </c>
      <c r="E47" s="175" t="s">
        <v>112</v>
      </c>
      <c r="F47" s="294">
        <v>1</v>
      </c>
      <c r="G47" s="176">
        <f>1.3</f>
        <v>1.3</v>
      </c>
      <c r="H47" s="177">
        <f t="shared" ref="H47:H61" si="5">G47*F47</f>
        <v>1.3</v>
      </c>
    </row>
    <row r="48" spans="1:8" ht="45" x14ac:dyDescent="0.25">
      <c r="A48" s="174"/>
      <c r="B48" s="175" t="s">
        <v>667</v>
      </c>
      <c r="C48" s="175" t="s">
        <v>8</v>
      </c>
      <c r="D48" s="277" t="s">
        <v>668</v>
      </c>
      <c r="E48" s="175" t="s">
        <v>150</v>
      </c>
      <c r="F48" s="294">
        <v>1.05</v>
      </c>
      <c r="G48" s="179">
        <v>27.58</v>
      </c>
      <c r="H48" s="216">
        <f t="shared" ref="H48:H53" si="6">G48*F48</f>
        <v>28.959</v>
      </c>
    </row>
    <row r="49" spans="1:9" ht="30" x14ac:dyDescent="0.25">
      <c r="A49" s="174"/>
      <c r="B49" s="175" t="s">
        <v>643</v>
      </c>
      <c r="C49" s="175" t="s">
        <v>8</v>
      </c>
      <c r="D49" s="277" t="s">
        <v>646</v>
      </c>
      <c r="E49" s="175" t="s">
        <v>150</v>
      </c>
      <c r="F49" s="294">
        <v>1.5</v>
      </c>
      <c r="G49" s="179">
        <v>0.31</v>
      </c>
      <c r="H49" s="177">
        <f t="shared" si="6"/>
        <v>0.46499999999999997</v>
      </c>
      <c r="I49" s="326"/>
    </row>
    <row r="50" spans="1:9" x14ac:dyDescent="0.25">
      <c r="A50" s="174"/>
      <c r="B50" s="175" t="s">
        <v>644</v>
      </c>
      <c r="C50" s="175" t="s">
        <v>8</v>
      </c>
      <c r="D50" s="277" t="s">
        <v>647</v>
      </c>
      <c r="E50" s="175" t="s">
        <v>104</v>
      </c>
      <c r="F50" s="294">
        <v>0.35</v>
      </c>
      <c r="G50" s="176">
        <v>3.79</v>
      </c>
      <c r="H50" s="177">
        <f t="shared" si="6"/>
        <v>1.3265</v>
      </c>
    </row>
    <row r="51" spans="1:9" ht="45" x14ac:dyDescent="0.25">
      <c r="A51" s="174"/>
      <c r="B51" s="175" t="s">
        <v>645</v>
      </c>
      <c r="C51" s="175" t="s">
        <v>8</v>
      </c>
      <c r="D51" s="277" t="s">
        <v>648</v>
      </c>
      <c r="E51" s="175" t="s">
        <v>468</v>
      </c>
      <c r="F51" s="294">
        <v>1.5</v>
      </c>
      <c r="G51" s="179">
        <v>0.1</v>
      </c>
      <c r="H51" s="177">
        <f t="shared" si="6"/>
        <v>0.15000000000000002</v>
      </c>
      <c r="I51" s="326"/>
    </row>
    <row r="52" spans="1:9" ht="45" x14ac:dyDescent="0.25">
      <c r="A52" s="174"/>
      <c r="B52" s="175" t="s">
        <v>654</v>
      </c>
      <c r="C52" s="175" t="s">
        <v>8</v>
      </c>
      <c r="D52" s="277" t="s">
        <v>652</v>
      </c>
      <c r="E52" s="175" t="s">
        <v>468</v>
      </c>
      <c r="F52" s="294">
        <v>12</v>
      </c>
      <c r="G52" s="176">
        <v>0.15</v>
      </c>
      <c r="H52" s="177">
        <f t="shared" si="6"/>
        <v>1.7999999999999998</v>
      </c>
    </row>
    <row r="53" spans="1:9" x14ac:dyDescent="0.25">
      <c r="A53" s="174"/>
      <c r="B53" s="175" t="s">
        <v>655</v>
      </c>
      <c r="C53" s="175" t="s">
        <v>8</v>
      </c>
      <c r="D53" s="277" t="s">
        <v>653</v>
      </c>
      <c r="E53" s="175" t="s">
        <v>468</v>
      </c>
      <c r="F53" s="294">
        <v>1.5</v>
      </c>
      <c r="G53" s="179">
        <v>0.4</v>
      </c>
      <c r="H53" s="177">
        <f t="shared" si="6"/>
        <v>0.60000000000000009</v>
      </c>
      <c r="I53" s="326"/>
    </row>
    <row r="54" spans="1:9" ht="45" x14ac:dyDescent="0.25">
      <c r="A54" s="174"/>
      <c r="B54" s="175" t="s">
        <v>656</v>
      </c>
      <c r="C54" s="175" t="s">
        <v>8</v>
      </c>
      <c r="D54" s="277" t="s">
        <v>651</v>
      </c>
      <c r="E54" s="175" t="s">
        <v>468</v>
      </c>
      <c r="F54" s="294">
        <v>1.5</v>
      </c>
      <c r="G54" s="176">
        <v>1.7</v>
      </c>
      <c r="H54" s="177">
        <f t="shared" si="5"/>
        <v>2.5499999999999998</v>
      </c>
    </row>
    <row r="55" spans="1:9" ht="30" x14ac:dyDescent="0.25">
      <c r="A55" s="174"/>
      <c r="B55" s="175" t="s">
        <v>657</v>
      </c>
      <c r="C55" s="175" t="s">
        <v>8</v>
      </c>
      <c r="D55" s="277" t="s">
        <v>650</v>
      </c>
      <c r="E55" s="175" t="s">
        <v>468</v>
      </c>
      <c r="F55" s="294">
        <v>1.5</v>
      </c>
      <c r="G55" s="179">
        <v>1.86</v>
      </c>
      <c r="H55" s="177">
        <f t="shared" si="5"/>
        <v>2.79</v>
      </c>
      <c r="I55" s="326"/>
    </row>
    <row r="56" spans="1:9" ht="30" x14ac:dyDescent="0.25">
      <c r="A56" s="174"/>
      <c r="B56" s="175" t="s">
        <v>658</v>
      </c>
      <c r="C56" s="175" t="s">
        <v>8</v>
      </c>
      <c r="D56" s="277" t="s">
        <v>649</v>
      </c>
      <c r="E56" s="175" t="s">
        <v>468</v>
      </c>
      <c r="F56" s="285">
        <v>0.1346154</v>
      </c>
      <c r="G56" s="176">
        <v>1.78</v>
      </c>
      <c r="H56" s="177">
        <f t="shared" ref="H56" si="7">G56*F56</f>
        <v>0.239615412</v>
      </c>
    </row>
    <row r="57" spans="1:9" ht="45" x14ac:dyDescent="0.25">
      <c r="A57" s="174"/>
      <c r="B57" s="175" t="s">
        <v>662</v>
      </c>
      <c r="C57" s="175" t="s">
        <v>8</v>
      </c>
      <c r="D57" s="277" t="s">
        <v>659</v>
      </c>
      <c r="E57" s="175" t="s">
        <v>156</v>
      </c>
      <c r="F57" s="278">
        <v>1.1000000000000001</v>
      </c>
      <c r="G57" s="176">
        <v>2.14</v>
      </c>
      <c r="H57" s="177">
        <f t="shared" ref="H57:H58" si="8">G57*F57</f>
        <v>2.3540000000000005</v>
      </c>
    </row>
    <row r="58" spans="1:9" x14ac:dyDescent="0.25">
      <c r="A58" s="174"/>
      <c r="B58" s="175" t="s">
        <v>663</v>
      </c>
      <c r="C58" s="175" t="s">
        <v>8</v>
      </c>
      <c r="D58" s="277" t="s">
        <v>660</v>
      </c>
      <c r="E58" s="175" t="s">
        <v>112</v>
      </c>
      <c r="F58" s="295">
        <v>0.52380950000000004</v>
      </c>
      <c r="G58" s="179">
        <v>27.87</v>
      </c>
      <c r="H58" s="177">
        <f t="shared" si="8"/>
        <v>14.598570765000002</v>
      </c>
      <c r="I58" s="326"/>
    </row>
    <row r="59" spans="1:9" x14ac:dyDescent="0.25">
      <c r="A59" s="174"/>
      <c r="B59" s="175" t="s">
        <v>664</v>
      </c>
      <c r="C59" s="175" t="s">
        <v>8</v>
      </c>
      <c r="D59" s="175" t="s">
        <v>661</v>
      </c>
      <c r="E59" s="175" t="s">
        <v>112</v>
      </c>
      <c r="F59" s="295">
        <v>0.26190479999999999</v>
      </c>
      <c r="G59" s="176">
        <v>27.68</v>
      </c>
      <c r="H59" s="177">
        <f t="shared" si="5"/>
        <v>7.2495248639999996</v>
      </c>
    </row>
    <row r="60" spans="1:9" ht="45" x14ac:dyDescent="0.25">
      <c r="A60" s="174"/>
      <c r="B60" s="175" t="s">
        <v>665</v>
      </c>
      <c r="C60" s="175" t="s">
        <v>8</v>
      </c>
      <c r="D60" s="277" t="s">
        <v>684</v>
      </c>
      <c r="E60" s="175" t="s">
        <v>156</v>
      </c>
      <c r="F60" s="278">
        <v>1.7</v>
      </c>
      <c r="G60" s="179">
        <v>5.62</v>
      </c>
      <c r="H60" s="177">
        <f t="shared" ref="H60" si="9">G60*F60</f>
        <v>9.5540000000000003</v>
      </c>
      <c r="I60" s="326"/>
    </row>
    <row r="61" spans="1:9" x14ac:dyDescent="0.25">
      <c r="A61" s="174"/>
      <c r="B61" s="175" t="s">
        <v>666</v>
      </c>
      <c r="C61" s="175" t="s">
        <v>8</v>
      </c>
      <c r="D61" s="277" t="s">
        <v>22</v>
      </c>
      <c r="E61" s="175" t="s">
        <v>112</v>
      </c>
      <c r="F61" s="295">
        <v>0.26190479999999999</v>
      </c>
      <c r="G61" s="179">
        <v>19.760000000000002</v>
      </c>
      <c r="H61" s="177">
        <f t="shared" si="5"/>
        <v>5.1752388480000002</v>
      </c>
      <c r="I61" s="326"/>
    </row>
    <row r="62" spans="1:9" x14ac:dyDescent="0.25">
      <c r="A62" s="174"/>
      <c r="B62" s="175"/>
      <c r="C62" s="175"/>
      <c r="D62" s="277"/>
      <c r="E62" s="175"/>
      <c r="F62" s="295"/>
      <c r="G62" s="179"/>
      <c r="H62" s="177"/>
      <c r="I62" s="326"/>
    </row>
    <row r="63" spans="1:9" ht="45" x14ac:dyDescent="0.25">
      <c r="A63" s="173" t="str">
        <f>Orçamento!A$49</f>
        <v>5.5</v>
      </c>
      <c r="B63" s="282" t="str">
        <f>Orçamento!B$49</f>
        <v>TJMMG-CP-08</v>
      </c>
      <c r="C63" s="282" t="str">
        <f>Orçamento!C$49</f>
        <v>PRÓPRIO</v>
      </c>
      <c r="D63" s="283" t="s">
        <v>471</v>
      </c>
      <c r="E63" s="282" t="s">
        <v>114</v>
      </c>
      <c r="F63" s="284">
        <v>1</v>
      </c>
      <c r="G63" s="180">
        <f ca="1">SUM(H64:H71)</f>
        <v>192.2753038644689</v>
      </c>
      <c r="H63" s="181">
        <f ca="1">G63*F63</f>
        <v>192.2753038644689</v>
      </c>
    </row>
    <row r="64" spans="1:9" ht="30" x14ac:dyDescent="0.25">
      <c r="A64" s="174"/>
      <c r="B64" s="175" t="s">
        <v>363</v>
      </c>
      <c r="C64" s="175" t="s">
        <v>19</v>
      </c>
      <c r="D64" s="277" t="s">
        <v>364</v>
      </c>
      <c r="E64" s="175" t="s">
        <v>156</v>
      </c>
      <c r="F64" s="278">
        <v>3.851</v>
      </c>
      <c r="G64" s="176">
        <v>5.4</v>
      </c>
      <c r="H64" s="177">
        <f>G64*F64</f>
        <v>20.795400000000001</v>
      </c>
    </row>
    <row r="65" spans="1:9" ht="30" x14ac:dyDescent="0.25">
      <c r="A65" s="174"/>
      <c r="B65" s="175" t="s">
        <v>365</v>
      </c>
      <c r="C65" s="175" t="s">
        <v>19</v>
      </c>
      <c r="D65" s="277" t="s">
        <v>366</v>
      </c>
      <c r="E65" s="175" t="s">
        <v>177</v>
      </c>
      <c r="F65" s="278">
        <v>1.3265</v>
      </c>
      <c r="G65" s="176">
        <v>2.0299999999999998</v>
      </c>
      <c r="H65" s="177">
        <f t="shared" ref="H65:H71" si="10">G65*F65</f>
        <v>2.6927949999999998</v>
      </c>
    </row>
    <row r="66" spans="1:9" x14ac:dyDescent="0.25">
      <c r="A66" s="174"/>
      <c r="B66" s="175" t="s">
        <v>367</v>
      </c>
      <c r="C66" s="175" t="s">
        <v>19</v>
      </c>
      <c r="D66" s="277" t="s">
        <v>368</v>
      </c>
      <c r="E66" s="175" t="s">
        <v>369</v>
      </c>
      <c r="F66" s="278">
        <v>1.32E-2</v>
      </c>
      <c r="G66" s="176">
        <v>35.35</v>
      </c>
      <c r="H66" s="177">
        <f t="shared" si="10"/>
        <v>0.46662000000000003</v>
      </c>
    </row>
    <row r="67" spans="1:9" ht="45" x14ac:dyDescent="0.25">
      <c r="A67" s="174"/>
      <c r="B67" s="175" t="s">
        <v>370</v>
      </c>
      <c r="C67" s="175" t="s">
        <v>19</v>
      </c>
      <c r="D67" s="277" t="s">
        <v>371</v>
      </c>
      <c r="E67" s="175" t="s">
        <v>104</v>
      </c>
      <c r="F67" s="278">
        <v>4.2599999999999999E-2</v>
      </c>
      <c r="G67" s="176">
        <v>29.5</v>
      </c>
      <c r="H67" s="177">
        <f t="shared" si="10"/>
        <v>1.2566999999999999</v>
      </c>
    </row>
    <row r="68" spans="1:9" x14ac:dyDescent="0.25">
      <c r="A68" s="174"/>
      <c r="B68" s="175" t="s">
        <v>291</v>
      </c>
      <c r="C68" s="175" t="s">
        <v>19</v>
      </c>
      <c r="D68" s="277" t="s">
        <v>372</v>
      </c>
      <c r="E68" s="175" t="s">
        <v>112</v>
      </c>
      <c r="F68" s="278">
        <v>0.36280000000000001</v>
      </c>
      <c r="G68" s="176">
        <v>32.14</v>
      </c>
      <c r="H68" s="177">
        <f t="shared" si="10"/>
        <v>11.660392</v>
      </c>
    </row>
    <row r="69" spans="1:9" x14ac:dyDescent="0.25">
      <c r="A69" s="174"/>
      <c r="B69" s="175" t="s">
        <v>292</v>
      </c>
      <c r="C69" s="175" t="s">
        <v>19</v>
      </c>
      <c r="D69" s="277" t="s">
        <v>84</v>
      </c>
      <c r="E69" s="175" t="s">
        <v>112</v>
      </c>
      <c r="F69" s="278">
        <v>0.36280000000000001</v>
      </c>
      <c r="G69" s="176">
        <v>19.760000000000002</v>
      </c>
      <c r="H69" s="177">
        <f t="shared" si="10"/>
        <v>7.1689280000000011</v>
      </c>
    </row>
    <row r="70" spans="1:9" ht="30" x14ac:dyDescent="0.25">
      <c r="A70" s="174"/>
      <c r="B70" s="276" t="str">
        <f>'COT.'!$A$26</f>
        <v>COT-04</v>
      </c>
      <c r="C70" s="175" t="s">
        <v>23</v>
      </c>
      <c r="D70" s="277" t="s">
        <v>470</v>
      </c>
      <c r="E70" s="175" t="s">
        <v>114</v>
      </c>
      <c r="F70" s="278">
        <v>1.1000000000000001</v>
      </c>
      <c r="G70" s="179">
        <f ca="1">'COT.'!$E$26</f>
        <v>115.55860805860807</v>
      </c>
      <c r="H70" s="177">
        <f t="shared" ca="1" si="10"/>
        <v>127.11446886446889</v>
      </c>
    </row>
    <row r="71" spans="1:9" x14ac:dyDescent="0.25">
      <c r="A71" s="174"/>
      <c r="B71" s="276" t="str">
        <f>'COT.'!$A$38</f>
        <v>COT-06</v>
      </c>
      <c r="C71" s="175" t="s">
        <v>23</v>
      </c>
      <c r="D71" s="277" t="s">
        <v>361</v>
      </c>
      <c r="E71" s="175" t="s">
        <v>177</v>
      </c>
      <c r="F71" s="278">
        <v>6.4</v>
      </c>
      <c r="G71" s="179">
        <f ca="1">'COT.'!$E$38</f>
        <v>3.3</v>
      </c>
      <c r="H71" s="216">
        <f t="shared" ca="1" si="10"/>
        <v>21.12</v>
      </c>
    </row>
    <row r="72" spans="1:9" x14ac:dyDescent="0.25">
      <c r="A72" s="174"/>
      <c r="B72" s="276"/>
      <c r="C72" s="175"/>
      <c r="D72" s="277"/>
      <c r="E72" s="175"/>
      <c r="F72" s="278"/>
      <c r="G72" s="179"/>
      <c r="H72" s="216"/>
    </row>
    <row r="73" spans="1:9" x14ac:dyDescent="0.25">
      <c r="A73" s="173" t="str">
        <f>Orçamento!$A$52</f>
        <v>5.8</v>
      </c>
      <c r="B73" s="282" t="str">
        <f>Orçamento!B52</f>
        <v xml:space="preserve"> TJMMG-CP-09</v>
      </c>
      <c r="C73" s="282" t="str">
        <f>Orçamento!$C$52</f>
        <v xml:space="preserve">PRÓPRIO </v>
      </c>
      <c r="D73" s="282" t="s">
        <v>111</v>
      </c>
      <c r="E73" s="282" t="s">
        <v>114</v>
      </c>
      <c r="F73" s="284">
        <v>1</v>
      </c>
      <c r="G73" s="180">
        <f ca="1">SUM(H74:H76)</f>
        <v>45.806203703703702</v>
      </c>
      <c r="H73" s="181">
        <f ca="1">G73*F73</f>
        <v>45.806203703703702</v>
      </c>
    </row>
    <row r="74" spans="1:9" x14ac:dyDescent="0.25">
      <c r="A74" s="174"/>
      <c r="B74" s="276" t="str">
        <f>'COT.'!A8</f>
        <v>COT-01</v>
      </c>
      <c r="C74" s="175" t="s">
        <v>23</v>
      </c>
      <c r="D74" s="175" t="s">
        <v>115</v>
      </c>
      <c r="E74" s="175" t="s">
        <v>114</v>
      </c>
      <c r="F74" s="278">
        <v>1</v>
      </c>
      <c r="G74" s="176">
        <f ca="1">'COT.'!$E$8</f>
        <v>27.391203703703702</v>
      </c>
      <c r="H74" s="177">
        <f ca="1">G74*F74</f>
        <v>27.391203703703702</v>
      </c>
    </row>
    <row r="75" spans="1:9" x14ac:dyDescent="0.25">
      <c r="A75" s="174"/>
      <c r="B75" s="175">
        <v>88278</v>
      </c>
      <c r="C75" s="175" t="s">
        <v>19</v>
      </c>
      <c r="D75" s="277" t="s">
        <v>148</v>
      </c>
      <c r="E75" s="175" t="s">
        <v>112</v>
      </c>
      <c r="F75" s="278">
        <v>0.45</v>
      </c>
      <c r="G75" s="176">
        <v>32.14</v>
      </c>
      <c r="H75" s="177">
        <f t="shared" ref="H75:H76" si="11">G75*F75</f>
        <v>14.463000000000001</v>
      </c>
    </row>
    <row r="76" spans="1:9" x14ac:dyDescent="0.25">
      <c r="A76" s="174"/>
      <c r="B76" s="175">
        <v>88316</v>
      </c>
      <c r="C76" s="175" t="s">
        <v>19</v>
      </c>
      <c r="D76" s="175" t="s">
        <v>22</v>
      </c>
      <c r="E76" s="175" t="s">
        <v>112</v>
      </c>
      <c r="F76" s="278">
        <v>0.2</v>
      </c>
      <c r="G76" s="176">
        <v>19.760000000000002</v>
      </c>
      <c r="H76" s="177">
        <f t="shared" si="11"/>
        <v>3.9520000000000004</v>
      </c>
    </row>
    <row r="77" spans="1:9" x14ac:dyDescent="0.25">
      <c r="A77" s="174"/>
      <c r="B77" s="175"/>
      <c r="C77" s="175"/>
      <c r="D77" s="175"/>
      <c r="E77" s="175"/>
      <c r="F77" s="278"/>
      <c r="G77" s="176"/>
      <c r="H77" s="177"/>
    </row>
    <row r="78" spans="1:9" s="175" customFormat="1" ht="30" x14ac:dyDescent="0.25">
      <c r="A78" s="173" t="str">
        <f>Orçamento!$A$56</f>
        <v>6.1</v>
      </c>
      <c r="B78" s="282" t="str">
        <f>Orçamento!$B$56</f>
        <v xml:space="preserve"> TJMMG-CP-10</v>
      </c>
      <c r="C78" s="282" t="str">
        <f>Orçamento!$C$56</f>
        <v xml:space="preserve">PRÓPRIO </v>
      </c>
      <c r="D78" s="283" t="s">
        <v>472</v>
      </c>
      <c r="E78" s="282" t="s">
        <v>114</v>
      </c>
      <c r="F78" s="284">
        <v>1</v>
      </c>
      <c r="G78" s="180">
        <f ca="1">SUM(H79:H82)</f>
        <v>131.52406792991036</v>
      </c>
      <c r="H78" s="181">
        <f ca="1">G78*F78</f>
        <v>131.52406792991036</v>
      </c>
      <c r="I78" s="217"/>
    </row>
    <row r="79" spans="1:9" ht="21" customHeight="1" x14ac:dyDescent="0.25">
      <c r="A79" s="174"/>
      <c r="B79" s="175">
        <v>4791</v>
      </c>
      <c r="C79" s="175" t="s">
        <v>19</v>
      </c>
      <c r="D79" s="178" t="s">
        <v>625</v>
      </c>
      <c r="E79" s="175" t="s">
        <v>104</v>
      </c>
      <c r="F79" s="278">
        <v>9.5000000000000001E-2</v>
      </c>
      <c r="G79" s="176">
        <v>46.7</v>
      </c>
      <c r="H79" s="177">
        <f>G79*F79</f>
        <v>4.4365000000000006</v>
      </c>
    </row>
    <row r="80" spans="1:9" x14ac:dyDescent="0.25">
      <c r="A80" s="174"/>
      <c r="B80" s="175">
        <v>88309</v>
      </c>
      <c r="C80" s="175" t="s">
        <v>19</v>
      </c>
      <c r="D80" s="175" t="s">
        <v>85</v>
      </c>
      <c r="E80" s="175" t="s">
        <v>112</v>
      </c>
      <c r="F80" s="278">
        <v>0.17100000000000001</v>
      </c>
      <c r="G80" s="176">
        <v>27.45</v>
      </c>
      <c r="H80" s="177">
        <f>G80*F80</f>
        <v>4.6939500000000001</v>
      </c>
    </row>
    <row r="81" spans="1:9" x14ac:dyDescent="0.25">
      <c r="A81" s="174"/>
      <c r="B81" s="175">
        <v>88316</v>
      </c>
      <c r="C81" s="175" t="s">
        <v>19</v>
      </c>
      <c r="D81" s="175" t="s">
        <v>22</v>
      </c>
      <c r="E81" s="175" t="s">
        <v>112</v>
      </c>
      <c r="F81" s="278">
        <v>8.5000000000000006E-2</v>
      </c>
      <c r="G81" s="176">
        <v>19.760000000000002</v>
      </c>
      <c r="H81" s="177">
        <f>G81*F81</f>
        <v>1.6796000000000002</v>
      </c>
    </row>
    <row r="82" spans="1:9" ht="30" x14ac:dyDescent="0.25">
      <c r="A82" s="174"/>
      <c r="B82" s="276" t="str">
        <f>'COT.'!$A$44</f>
        <v>COT-07</v>
      </c>
      <c r="C82" s="175" t="s">
        <v>23</v>
      </c>
      <c r="D82" s="277" t="s">
        <v>316</v>
      </c>
      <c r="E82" s="175" t="s">
        <v>114</v>
      </c>
      <c r="F82" s="278">
        <v>1.1000000000000001</v>
      </c>
      <c r="G82" s="176">
        <f ca="1">'COT.'!$E$44</f>
        <v>109.74001629991851</v>
      </c>
      <c r="H82" s="177">
        <f ca="1">G82*F82</f>
        <v>120.71401792991037</v>
      </c>
    </row>
    <row r="83" spans="1:9" x14ac:dyDescent="0.25">
      <c r="A83" s="174"/>
      <c r="B83" s="175"/>
      <c r="C83" s="175"/>
      <c r="D83" s="175"/>
      <c r="E83" s="175"/>
      <c r="F83" s="278"/>
      <c r="G83" s="176"/>
      <c r="H83" s="177"/>
    </row>
    <row r="84" spans="1:9" s="175" customFormat="1" ht="30" x14ac:dyDescent="0.25">
      <c r="A84" s="173" t="str">
        <f>Orçamento!$A$57</f>
        <v>6.2</v>
      </c>
      <c r="B84" s="282" t="str">
        <f>Orçamento!$B$57</f>
        <v xml:space="preserve"> TJMMG-CP-11</v>
      </c>
      <c r="C84" s="282" t="str">
        <f>Orçamento!$C$57</f>
        <v xml:space="preserve">PRÓPRIO </v>
      </c>
      <c r="D84" s="283" t="s">
        <v>317</v>
      </c>
      <c r="E84" s="282" t="s">
        <v>114</v>
      </c>
      <c r="F84" s="284">
        <v>1</v>
      </c>
      <c r="G84" s="180">
        <f ca="1">SUM(H85:H89)</f>
        <v>69.802399999999992</v>
      </c>
      <c r="H84" s="181">
        <f ca="1">G84*F84</f>
        <v>69.802399999999992</v>
      </c>
      <c r="I84" s="217"/>
    </row>
    <row r="85" spans="1:9" x14ac:dyDescent="0.25">
      <c r="A85" s="174" t="s">
        <v>149</v>
      </c>
      <c r="B85" s="175">
        <v>34357</v>
      </c>
      <c r="C85" s="175" t="s">
        <v>19</v>
      </c>
      <c r="D85" s="175" t="s">
        <v>20</v>
      </c>
      <c r="E85" s="175" t="s">
        <v>104</v>
      </c>
      <c r="F85" s="278">
        <v>0.14000000000000001</v>
      </c>
      <c r="G85" s="176">
        <v>3.81</v>
      </c>
      <c r="H85" s="177">
        <f>G85*F85</f>
        <v>0.5334000000000001</v>
      </c>
      <c r="I85" s="326"/>
    </row>
    <row r="86" spans="1:9" x14ac:dyDescent="0.25">
      <c r="A86" s="174" t="s">
        <v>149</v>
      </c>
      <c r="B86" s="175">
        <v>37595</v>
      </c>
      <c r="C86" s="175" t="s">
        <v>19</v>
      </c>
      <c r="D86" s="277" t="s">
        <v>47</v>
      </c>
      <c r="E86" s="175" t="s">
        <v>104</v>
      </c>
      <c r="F86" s="278">
        <v>8.6199999999999992</v>
      </c>
      <c r="G86" s="176">
        <v>1.99</v>
      </c>
      <c r="H86" s="177">
        <f t="shared" ref="H86:H87" si="12">G86*F86</f>
        <v>17.153799999999997</v>
      </c>
      <c r="I86" s="326"/>
    </row>
    <row r="87" spans="1:9" x14ac:dyDescent="0.25">
      <c r="A87" s="174" t="s">
        <v>149</v>
      </c>
      <c r="B87" s="175">
        <v>88256</v>
      </c>
      <c r="C87" s="175" t="s">
        <v>19</v>
      </c>
      <c r="D87" s="175" t="s">
        <v>21</v>
      </c>
      <c r="E87" s="175" t="s">
        <v>112</v>
      </c>
      <c r="F87" s="278">
        <v>0.7</v>
      </c>
      <c r="G87" s="176">
        <v>29.13</v>
      </c>
      <c r="H87" s="177">
        <f t="shared" si="12"/>
        <v>20.390999999999998</v>
      </c>
      <c r="I87" s="326"/>
    </row>
    <row r="88" spans="1:9" x14ac:dyDescent="0.25">
      <c r="A88" s="174" t="s">
        <v>149</v>
      </c>
      <c r="B88" s="175">
        <v>88316</v>
      </c>
      <c r="C88" s="175" t="s">
        <v>19</v>
      </c>
      <c r="D88" s="175" t="s">
        <v>22</v>
      </c>
      <c r="E88" s="175" t="s">
        <v>112</v>
      </c>
      <c r="F88" s="278">
        <v>0.27</v>
      </c>
      <c r="G88" s="176">
        <v>19.760000000000002</v>
      </c>
      <c r="H88" s="177">
        <f>G88*F88</f>
        <v>5.3352000000000004</v>
      </c>
      <c r="I88" s="326"/>
    </row>
    <row r="89" spans="1:9" ht="30" x14ac:dyDescent="0.25">
      <c r="A89" s="174" t="s">
        <v>149</v>
      </c>
      <c r="B89" s="276" t="str">
        <f>'COT.'!$A$50</f>
        <v>COT-08</v>
      </c>
      <c r="C89" s="175" t="s">
        <v>23</v>
      </c>
      <c r="D89" s="277" t="s">
        <v>317</v>
      </c>
      <c r="E89" s="175" t="s">
        <v>150</v>
      </c>
      <c r="F89" s="278">
        <v>1.1000000000000001</v>
      </c>
      <c r="G89" s="176">
        <f ca="1">'COT.'!$E$50</f>
        <v>23.99</v>
      </c>
      <c r="H89" s="177">
        <f t="shared" ref="H89" ca="1" si="13">G89*F89</f>
        <v>26.388999999999999</v>
      </c>
    </row>
    <row r="90" spans="1:9" x14ac:dyDescent="0.25">
      <c r="A90" s="174"/>
      <c r="B90" s="175"/>
      <c r="C90" s="175"/>
      <c r="D90" s="175"/>
      <c r="E90" s="175"/>
      <c r="F90" s="278"/>
      <c r="G90" s="176"/>
      <c r="H90" s="177"/>
    </row>
    <row r="91" spans="1:9" ht="30" x14ac:dyDescent="0.25">
      <c r="A91" s="173" t="str">
        <f>Orçamento!A59</f>
        <v>6.4</v>
      </c>
      <c r="B91" s="282" t="str">
        <f>Orçamento!$B$59</f>
        <v xml:space="preserve"> TJMMG-CP-12</v>
      </c>
      <c r="C91" s="282" t="str">
        <f>Orçamento!$C$59</f>
        <v xml:space="preserve">PRÓPRIO </v>
      </c>
      <c r="D91" s="283" t="s">
        <v>473</v>
      </c>
      <c r="E91" s="282" t="s">
        <v>156</v>
      </c>
      <c r="F91" s="284">
        <v>1</v>
      </c>
      <c r="G91" s="180">
        <f>SUM(H92:H95)</f>
        <v>16.406213000000001</v>
      </c>
      <c r="H91" s="181">
        <f>G91*F91</f>
        <v>16.406213000000001</v>
      </c>
    </row>
    <row r="92" spans="1:9" x14ac:dyDescent="0.25">
      <c r="A92" s="174"/>
      <c r="B92" s="175">
        <v>2013</v>
      </c>
      <c r="C92" s="175" t="s">
        <v>157</v>
      </c>
      <c r="D92" s="277" t="s">
        <v>353</v>
      </c>
      <c r="E92" s="175" t="s">
        <v>104</v>
      </c>
      <c r="F92" s="278">
        <v>4.0300000000000002E-2</v>
      </c>
      <c r="G92" s="176">
        <v>42.21</v>
      </c>
      <c r="H92" s="177">
        <f t="shared" ref="H92:H95" si="14">G92*F92</f>
        <v>1.7010630000000002</v>
      </c>
    </row>
    <row r="93" spans="1:9" x14ac:dyDescent="0.25">
      <c r="A93" s="174"/>
      <c r="B93" s="175">
        <v>88320</v>
      </c>
      <c r="C93" s="175" t="s">
        <v>19</v>
      </c>
      <c r="D93" s="277" t="s">
        <v>354</v>
      </c>
      <c r="E93" s="175" t="s">
        <v>112</v>
      </c>
      <c r="F93" s="278">
        <v>0.17100000000000001</v>
      </c>
      <c r="G93" s="176">
        <v>27.05</v>
      </c>
      <c r="H93" s="177">
        <f>G93*F93</f>
        <v>4.6255500000000005</v>
      </c>
    </row>
    <row r="94" spans="1:9" x14ac:dyDescent="0.25">
      <c r="A94" s="174"/>
      <c r="B94" s="175">
        <v>88316</v>
      </c>
      <c r="C94" s="175" t="s">
        <v>19</v>
      </c>
      <c r="D94" s="175" t="s">
        <v>22</v>
      </c>
      <c r="E94" s="175" t="s">
        <v>112</v>
      </c>
      <c r="F94" s="278">
        <v>8.5000000000000006E-2</v>
      </c>
      <c r="G94" s="176">
        <v>19.760000000000002</v>
      </c>
      <c r="H94" s="177">
        <f>G94*F94</f>
        <v>1.6796000000000002</v>
      </c>
    </row>
    <row r="95" spans="1:9" ht="30" x14ac:dyDescent="0.25">
      <c r="A95" s="174"/>
      <c r="B95" s="276" t="s">
        <v>348</v>
      </c>
      <c r="C95" s="175" t="s">
        <v>8</v>
      </c>
      <c r="D95" s="277" t="s">
        <v>347</v>
      </c>
      <c r="E95" s="175" t="s">
        <v>156</v>
      </c>
      <c r="F95" s="278">
        <v>1</v>
      </c>
      <c r="G95" s="176">
        <v>8.4</v>
      </c>
      <c r="H95" s="177">
        <f t="shared" si="14"/>
        <v>8.4</v>
      </c>
    </row>
    <row r="96" spans="1:9" x14ac:dyDescent="0.25">
      <c r="A96" s="174"/>
      <c r="B96" s="175"/>
      <c r="C96" s="175"/>
      <c r="D96" s="175"/>
      <c r="E96" s="175"/>
      <c r="F96" s="278"/>
      <c r="G96" s="176"/>
      <c r="H96" s="177"/>
    </row>
    <row r="97" spans="1:9" s="175" customFormat="1" ht="47.25" customHeight="1" x14ac:dyDescent="0.25">
      <c r="A97" s="173" t="str">
        <f>Orçamento!A61</f>
        <v>6.6</v>
      </c>
      <c r="B97" s="282" t="str">
        <f>Orçamento!B61</f>
        <v xml:space="preserve"> TJMMG-CP-13</v>
      </c>
      <c r="C97" s="282" t="str">
        <f>Orçamento!C61</f>
        <v>SINAPI</v>
      </c>
      <c r="D97" s="283" t="s">
        <v>677</v>
      </c>
      <c r="E97" s="282" t="s">
        <v>114</v>
      </c>
      <c r="F97" s="284">
        <v>1</v>
      </c>
      <c r="G97" s="180">
        <f ca="1">SUM(H98:H102)</f>
        <v>9.6932169229999996</v>
      </c>
      <c r="H97" s="181">
        <f ca="1">G97*F97</f>
        <v>9.6932169229999996</v>
      </c>
      <c r="I97" s="217"/>
    </row>
    <row r="98" spans="1:9" ht="35.25" customHeight="1" x14ac:dyDescent="0.25">
      <c r="A98" s="174" t="s">
        <v>149</v>
      </c>
      <c r="B98" s="175" t="s">
        <v>681</v>
      </c>
      <c r="C98" s="175" t="s">
        <v>8</v>
      </c>
      <c r="D98" s="277" t="s">
        <v>680</v>
      </c>
      <c r="E98" s="175" t="s">
        <v>104</v>
      </c>
      <c r="F98" s="296">
        <v>0.47249999999999998</v>
      </c>
      <c r="G98" s="176">
        <v>2.02</v>
      </c>
      <c r="H98" s="177">
        <f>G98*F98</f>
        <v>0.95444999999999991</v>
      </c>
      <c r="I98" s="326"/>
    </row>
    <row r="99" spans="1:9" ht="30" x14ac:dyDescent="0.25">
      <c r="A99" s="174" t="s">
        <v>149</v>
      </c>
      <c r="B99" s="175" t="s">
        <v>683</v>
      </c>
      <c r="C99" s="175" t="s">
        <v>8</v>
      </c>
      <c r="D99" s="277" t="s">
        <v>682</v>
      </c>
      <c r="E99" s="175" t="s">
        <v>150</v>
      </c>
      <c r="F99" s="278">
        <v>0.11</v>
      </c>
      <c r="G99" s="176">
        <v>5.68</v>
      </c>
      <c r="H99" s="177">
        <f t="shared" ref="H99:H100" si="15">G99*F99</f>
        <v>0.62480000000000002</v>
      </c>
      <c r="I99" s="326"/>
    </row>
    <row r="100" spans="1:9" x14ac:dyDescent="0.25">
      <c r="A100" s="174" t="s">
        <v>149</v>
      </c>
      <c r="B100" s="175" t="s">
        <v>685</v>
      </c>
      <c r="C100" s="175" t="s">
        <v>8</v>
      </c>
      <c r="D100" s="277" t="s">
        <v>85</v>
      </c>
      <c r="E100" s="175" t="s">
        <v>112</v>
      </c>
      <c r="F100" s="285">
        <v>0.14666670000000001</v>
      </c>
      <c r="G100" s="176">
        <v>27.45</v>
      </c>
      <c r="H100" s="177">
        <f t="shared" si="15"/>
        <v>4.026000915</v>
      </c>
      <c r="I100" s="326"/>
    </row>
    <row r="101" spans="1:9" x14ac:dyDescent="0.25">
      <c r="A101" s="174" t="s">
        <v>149</v>
      </c>
      <c r="B101" s="175" t="s">
        <v>666</v>
      </c>
      <c r="C101" s="175" t="s">
        <v>8</v>
      </c>
      <c r="D101" s="175" t="s">
        <v>22</v>
      </c>
      <c r="E101" s="175" t="s">
        <v>112</v>
      </c>
      <c r="F101" s="285">
        <v>7.3333300000000004E-2</v>
      </c>
      <c r="G101" s="176">
        <v>19.760000000000002</v>
      </c>
      <c r="H101" s="177">
        <f>G101*F101</f>
        <v>1.4490660080000002</v>
      </c>
      <c r="I101" s="326"/>
    </row>
    <row r="102" spans="1:9" ht="30" x14ac:dyDescent="0.25">
      <c r="A102" s="174" t="s">
        <v>149</v>
      </c>
      <c r="B102" s="276" t="str">
        <f>'COT.'!$A$50</f>
        <v>COT-08</v>
      </c>
      <c r="C102" s="175" t="s">
        <v>23</v>
      </c>
      <c r="D102" s="277" t="s">
        <v>317</v>
      </c>
      <c r="E102" s="175" t="s">
        <v>150</v>
      </c>
      <c r="F102" s="278">
        <v>0.11</v>
      </c>
      <c r="G102" s="176">
        <f ca="1">'COT.'!$E$50</f>
        <v>23.99</v>
      </c>
      <c r="H102" s="177">
        <f t="shared" ref="H102" ca="1" si="16">G102*F102</f>
        <v>2.6389</v>
      </c>
    </row>
    <row r="103" spans="1:9" x14ac:dyDescent="0.25">
      <c r="A103" s="174"/>
      <c r="B103" s="276"/>
      <c r="C103" s="175"/>
      <c r="D103" s="277"/>
      <c r="E103" s="175"/>
      <c r="F103" s="278"/>
      <c r="G103" s="176"/>
      <c r="H103" s="177"/>
    </row>
    <row r="104" spans="1:9" ht="30" x14ac:dyDescent="0.25">
      <c r="A104" s="173" t="str">
        <f>Orçamento!A$69</f>
        <v>7.2.2</v>
      </c>
      <c r="B104" s="282" t="str">
        <f>Orçamento!B$69</f>
        <v>11413 ADP.</v>
      </c>
      <c r="C104" s="282" t="str">
        <f>Orçamento!C$69</f>
        <v>ORSE / COTAÇÃO</v>
      </c>
      <c r="D104" s="283" t="s">
        <v>439</v>
      </c>
      <c r="E104" s="282" t="s">
        <v>156</v>
      </c>
      <c r="F104" s="284">
        <v>1</v>
      </c>
      <c r="G104" s="180">
        <f ca="1">SUM(H105:H107)</f>
        <v>14.463000000000001</v>
      </c>
      <c r="H104" s="181">
        <f ca="1">G104*F104</f>
        <v>14.463000000000001</v>
      </c>
    </row>
    <row r="105" spans="1:9" x14ac:dyDescent="0.25">
      <c r="A105" s="174"/>
      <c r="B105" s="175">
        <v>88264</v>
      </c>
      <c r="C105" s="175" t="s">
        <v>19</v>
      </c>
      <c r="D105" s="175" t="s">
        <v>46</v>
      </c>
      <c r="E105" s="175" t="s">
        <v>24</v>
      </c>
      <c r="F105" s="278">
        <v>0.1</v>
      </c>
      <c r="G105" s="176">
        <v>27.8</v>
      </c>
      <c r="H105" s="177">
        <f t="shared" ref="H105:H106" si="17">G105*F105</f>
        <v>2.7800000000000002</v>
      </c>
    </row>
    <row r="106" spans="1:9" x14ac:dyDescent="0.25">
      <c r="A106" s="174"/>
      <c r="B106" s="175">
        <v>88247</v>
      </c>
      <c r="C106" s="175" t="s">
        <v>19</v>
      </c>
      <c r="D106" s="175" t="s">
        <v>436</v>
      </c>
      <c r="E106" s="175" t="s">
        <v>24</v>
      </c>
      <c r="F106" s="278">
        <v>0.1</v>
      </c>
      <c r="G106" s="176">
        <v>22.34</v>
      </c>
      <c r="H106" s="177">
        <f t="shared" si="17"/>
        <v>2.234</v>
      </c>
    </row>
    <row r="107" spans="1:9" x14ac:dyDescent="0.25">
      <c r="A107" s="174"/>
      <c r="B107" s="276" t="str">
        <f>'COT.'!$A$140</f>
        <v>COT-24</v>
      </c>
      <c r="C107" s="175" t="s">
        <v>23</v>
      </c>
      <c r="D107" s="277" t="s">
        <v>610</v>
      </c>
      <c r="E107" s="175" t="s">
        <v>156</v>
      </c>
      <c r="F107" s="278">
        <v>1.1000000000000001</v>
      </c>
      <c r="G107" s="176">
        <f ca="1">'COT.'!E140</f>
        <v>8.59</v>
      </c>
      <c r="H107" s="177">
        <f ca="1">G107*F107</f>
        <v>9.4489999999999998</v>
      </c>
    </row>
    <row r="108" spans="1:9" x14ac:dyDescent="0.25">
      <c r="A108" s="174"/>
      <c r="B108" s="175"/>
      <c r="C108" s="175"/>
      <c r="D108" s="175"/>
      <c r="E108" s="175"/>
      <c r="F108" s="278"/>
      <c r="G108" s="176"/>
      <c r="H108" s="177"/>
    </row>
    <row r="109" spans="1:9" x14ac:dyDescent="0.25">
      <c r="A109" s="173" t="str">
        <f>Orçamento!A85</f>
        <v>7.3.10</v>
      </c>
      <c r="B109" s="282" t="str">
        <f>Orçamento!$B$85</f>
        <v>10620 ADP.</v>
      </c>
      <c r="C109" s="282" t="str">
        <f>Orçamento!$C$85</f>
        <v>ORSE</v>
      </c>
      <c r="D109" s="283" t="s">
        <v>420</v>
      </c>
      <c r="E109" s="282" t="str">
        <f>Orçamento!$E$98</f>
        <v>UN</v>
      </c>
      <c r="F109" s="284">
        <v>1</v>
      </c>
      <c r="G109" s="180">
        <f>SUM(H110:H111)</f>
        <v>4.29</v>
      </c>
      <c r="H109" s="181">
        <f>G109*F109</f>
        <v>4.29</v>
      </c>
    </row>
    <row r="110" spans="1:9" x14ac:dyDescent="0.25">
      <c r="A110" s="174"/>
      <c r="B110" s="175">
        <v>88264</v>
      </c>
      <c r="C110" s="175" t="s">
        <v>19</v>
      </c>
      <c r="D110" s="175" t="s">
        <v>46</v>
      </c>
      <c r="E110" s="175" t="s">
        <v>24</v>
      </c>
      <c r="F110" s="278">
        <v>0.15</v>
      </c>
      <c r="G110" s="176">
        <v>27.8</v>
      </c>
      <c r="H110" s="177">
        <f t="shared" ref="H110:H111" si="18">G110*F110</f>
        <v>4.17</v>
      </c>
    </row>
    <row r="111" spans="1:9" x14ac:dyDescent="0.25">
      <c r="A111" s="174"/>
      <c r="B111" s="276" t="s">
        <v>423</v>
      </c>
      <c r="C111" s="175" t="s">
        <v>153</v>
      </c>
      <c r="D111" s="175" t="s">
        <v>422</v>
      </c>
      <c r="E111" s="175" t="s">
        <v>6</v>
      </c>
      <c r="F111" s="278">
        <v>1</v>
      </c>
      <c r="G111" s="176">
        <v>0.12</v>
      </c>
      <c r="H111" s="177">
        <f t="shared" si="18"/>
        <v>0.12</v>
      </c>
    </row>
    <row r="112" spans="1:9" x14ac:dyDescent="0.25">
      <c r="A112" s="174"/>
      <c r="B112" s="175"/>
      <c r="C112" s="175"/>
      <c r="D112" s="175"/>
      <c r="E112" s="175"/>
      <c r="F112" s="278"/>
      <c r="G112" s="176"/>
      <c r="H112" s="177"/>
    </row>
    <row r="113" spans="1:8" ht="30" x14ac:dyDescent="0.25">
      <c r="A113" s="173" t="str">
        <f>Orçamento!A96</f>
        <v>7.5.5</v>
      </c>
      <c r="B113" s="282" t="str">
        <f>Orçamento!B$96</f>
        <v>91946 ADP.</v>
      </c>
      <c r="C113" s="282" t="str">
        <f>Orçamento!C$96</f>
        <v>SINAPI ADP.</v>
      </c>
      <c r="D113" s="283" t="s">
        <v>433</v>
      </c>
      <c r="E113" s="282" t="str">
        <f>Orçamento!$E$98</f>
        <v>UN</v>
      </c>
      <c r="F113" s="284">
        <v>1</v>
      </c>
      <c r="G113" s="180">
        <f ca="1">SUM(H114:H117)</f>
        <v>23.13618</v>
      </c>
      <c r="H113" s="181">
        <f ca="1">G113*F113</f>
        <v>23.13618</v>
      </c>
    </row>
    <row r="114" spans="1:8" x14ac:dyDescent="0.25">
      <c r="A114" s="174"/>
      <c r="B114" s="175">
        <v>88264</v>
      </c>
      <c r="C114" s="175" t="s">
        <v>19</v>
      </c>
      <c r="D114" s="175" t="s">
        <v>46</v>
      </c>
      <c r="E114" s="175" t="s">
        <v>24</v>
      </c>
      <c r="F114" s="278">
        <v>0.187</v>
      </c>
      <c r="G114" s="176">
        <v>27.8</v>
      </c>
      <c r="H114" s="177">
        <f t="shared" ref="H114:H117" si="19">G114*F114</f>
        <v>5.1985999999999999</v>
      </c>
    </row>
    <row r="115" spans="1:8" x14ac:dyDescent="0.25">
      <c r="A115" s="174"/>
      <c r="B115" s="276" t="str">
        <f>'COT.'!A164</f>
        <v>COT-28</v>
      </c>
      <c r="C115" s="175" t="s">
        <v>23</v>
      </c>
      <c r="D115" s="277" t="str">
        <f>'COT.'!B164</f>
        <v>TAMPA CEGA COM FURO CENTRAL 2x4''</v>
      </c>
      <c r="E115" s="175" t="s">
        <v>6</v>
      </c>
      <c r="F115" s="278">
        <v>1</v>
      </c>
      <c r="G115" s="176">
        <f ca="1">'COT.'!E164</f>
        <v>2.96</v>
      </c>
      <c r="H115" s="177">
        <f t="shared" ref="H115" ca="1" si="20">G115*F115</f>
        <v>2.96</v>
      </c>
    </row>
    <row r="116" spans="1:8" ht="28.5" customHeight="1" x14ac:dyDescent="0.25">
      <c r="A116" s="174"/>
      <c r="B116" s="276" t="s">
        <v>698</v>
      </c>
      <c r="C116" s="175" t="s">
        <v>19</v>
      </c>
      <c r="D116" s="277" t="s">
        <v>697</v>
      </c>
      <c r="E116" s="175" t="s">
        <v>6</v>
      </c>
      <c r="F116" s="278">
        <v>1</v>
      </c>
      <c r="G116" s="176">
        <v>10.8</v>
      </c>
      <c r="H116" s="177">
        <f t="shared" si="19"/>
        <v>10.8</v>
      </c>
    </row>
    <row r="117" spans="1:8" x14ac:dyDescent="0.25">
      <c r="A117" s="174"/>
      <c r="B117" s="175">
        <v>88247</v>
      </c>
      <c r="C117" s="175" t="s">
        <v>19</v>
      </c>
      <c r="D117" s="175" t="s">
        <v>436</v>
      </c>
      <c r="E117" s="175" t="s">
        <v>24</v>
      </c>
      <c r="F117" s="278">
        <v>0.187</v>
      </c>
      <c r="G117" s="176">
        <v>22.34</v>
      </c>
      <c r="H117" s="177">
        <f t="shared" si="19"/>
        <v>4.1775799999999998</v>
      </c>
    </row>
    <row r="118" spans="1:8" x14ac:dyDescent="0.25">
      <c r="A118" s="174"/>
      <c r="B118" s="175"/>
      <c r="C118" s="175"/>
      <c r="D118" s="175"/>
      <c r="E118" s="175"/>
      <c r="F118" s="278"/>
      <c r="G118" s="176"/>
      <c r="H118" s="177"/>
    </row>
    <row r="119" spans="1:8" ht="30" x14ac:dyDescent="0.25">
      <c r="A119" s="173" t="str">
        <f>Orçamento!A$97</f>
        <v>7.5.6</v>
      </c>
      <c r="B119" s="282" t="str">
        <f>Orçamento!B$97</f>
        <v xml:space="preserve"> TJMMG-CP-14</v>
      </c>
      <c r="C119" s="282" t="str">
        <f>Orçamento!C$97</f>
        <v>PRÓPRIO</v>
      </c>
      <c r="D119" s="283" t="s">
        <v>376</v>
      </c>
      <c r="E119" s="282" t="str">
        <f>Orçamento!$E$97</f>
        <v>UN</v>
      </c>
      <c r="F119" s="284">
        <v>1</v>
      </c>
      <c r="G119" s="180">
        <f ca="1">SUM(H120:H122)</f>
        <v>236.12100000000001</v>
      </c>
      <c r="H119" s="181">
        <f ca="1">G119*F119</f>
        <v>236.12100000000001</v>
      </c>
    </row>
    <row r="120" spans="1:8" x14ac:dyDescent="0.25">
      <c r="A120" s="174"/>
      <c r="B120" s="276" t="s">
        <v>281</v>
      </c>
      <c r="C120" s="175" t="s">
        <v>19</v>
      </c>
      <c r="D120" s="277" t="s">
        <v>45</v>
      </c>
      <c r="E120" s="175" t="s">
        <v>24</v>
      </c>
      <c r="F120" s="278">
        <v>0.65</v>
      </c>
      <c r="G120" s="176">
        <v>22.34</v>
      </c>
      <c r="H120" s="177">
        <f>G120*F120</f>
        <v>14.521000000000001</v>
      </c>
    </row>
    <row r="121" spans="1:8" x14ac:dyDescent="0.25">
      <c r="A121" s="174"/>
      <c r="B121" s="175">
        <v>88264</v>
      </c>
      <c r="C121" s="175" t="s">
        <v>19</v>
      </c>
      <c r="D121" s="175" t="s">
        <v>46</v>
      </c>
      <c r="E121" s="175" t="s">
        <v>24</v>
      </c>
      <c r="F121" s="278">
        <f>0.65*2</f>
        <v>1.3</v>
      </c>
      <c r="G121" s="176">
        <v>27.8</v>
      </c>
      <c r="H121" s="177">
        <f t="shared" ref="H121:H122" si="21">G121*F121</f>
        <v>36.14</v>
      </c>
    </row>
    <row r="122" spans="1:8" x14ac:dyDescent="0.25">
      <c r="A122" s="174"/>
      <c r="B122" s="276" t="str">
        <f>'COT.'!$A$56</f>
        <v>COT-09</v>
      </c>
      <c r="C122" s="175" t="s">
        <v>23</v>
      </c>
      <c r="D122" s="175" t="s">
        <v>297</v>
      </c>
      <c r="E122" s="175" t="s">
        <v>6</v>
      </c>
      <c r="F122" s="278">
        <v>1</v>
      </c>
      <c r="G122" s="176">
        <f ca="1">'COT.'!$E$56</f>
        <v>185.46</v>
      </c>
      <c r="H122" s="177">
        <f t="shared" ca="1" si="21"/>
        <v>185.46</v>
      </c>
    </row>
    <row r="123" spans="1:8" x14ac:dyDescent="0.25">
      <c r="A123" s="174"/>
      <c r="B123" s="175"/>
      <c r="C123" s="175"/>
      <c r="D123" s="175"/>
      <c r="E123" s="175"/>
      <c r="F123" s="278"/>
      <c r="G123" s="176"/>
      <c r="H123" s="177"/>
    </row>
    <row r="124" spans="1:8" ht="30" x14ac:dyDescent="0.25">
      <c r="A124" s="173" t="str">
        <f>Orçamento!$A$98</f>
        <v>7.5.7</v>
      </c>
      <c r="B124" s="282" t="str">
        <f>Orçamento!$B$98</f>
        <v xml:space="preserve"> TJMMG-CP-15</v>
      </c>
      <c r="C124" s="282" t="str">
        <f>Orçamento!$C$98</f>
        <v>PRÓPRIO</v>
      </c>
      <c r="D124" s="283" t="s">
        <v>377</v>
      </c>
      <c r="E124" s="282" t="str">
        <f>Orçamento!$E$98</f>
        <v>UN</v>
      </c>
      <c r="F124" s="284">
        <v>1</v>
      </c>
      <c r="G124" s="180">
        <f ca="1">SUM(H125:H127)</f>
        <v>327.12099999999998</v>
      </c>
      <c r="H124" s="181">
        <f ca="1">G124*F124</f>
        <v>327.12099999999998</v>
      </c>
    </row>
    <row r="125" spans="1:8" x14ac:dyDescent="0.25">
      <c r="A125" s="174"/>
      <c r="B125" s="276" t="s">
        <v>281</v>
      </c>
      <c r="C125" s="175" t="s">
        <v>19</v>
      </c>
      <c r="D125" s="277" t="s">
        <v>45</v>
      </c>
      <c r="E125" s="175" t="s">
        <v>24</v>
      </c>
      <c r="F125" s="278">
        <v>0.65</v>
      </c>
      <c r="G125" s="176">
        <v>22.34</v>
      </c>
      <c r="H125" s="177">
        <f>G125*F125</f>
        <v>14.521000000000001</v>
      </c>
    </row>
    <row r="126" spans="1:8" x14ac:dyDescent="0.25">
      <c r="A126" s="174"/>
      <c r="B126" s="175">
        <v>88264</v>
      </c>
      <c r="C126" s="175" t="s">
        <v>19</v>
      </c>
      <c r="D126" s="175" t="s">
        <v>46</v>
      </c>
      <c r="E126" s="175" t="s">
        <v>24</v>
      </c>
      <c r="F126" s="278">
        <f>0.65*2</f>
        <v>1.3</v>
      </c>
      <c r="G126" s="176">
        <v>27.8</v>
      </c>
      <c r="H126" s="177">
        <f t="shared" ref="H126:H127" si="22">G126*F126</f>
        <v>36.14</v>
      </c>
    </row>
    <row r="127" spans="1:8" x14ac:dyDescent="0.25">
      <c r="A127" s="174"/>
      <c r="B127" s="276" t="str">
        <f>'COT.'!$A$62</f>
        <v>COT-10</v>
      </c>
      <c r="C127" s="175" t="s">
        <v>23</v>
      </c>
      <c r="D127" s="175" t="s">
        <v>297</v>
      </c>
      <c r="E127" s="175" t="s">
        <v>6</v>
      </c>
      <c r="F127" s="278">
        <v>1</v>
      </c>
      <c r="G127" s="176">
        <f ca="1">'COT.'!$E$62</f>
        <v>276.45999999999998</v>
      </c>
      <c r="H127" s="177">
        <f t="shared" ca="1" si="22"/>
        <v>276.45999999999998</v>
      </c>
    </row>
    <row r="128" spans="1:8" x14ac:dyDescent="0.25">
      <c r="A128" s="174"/>
      <c r="B128" s="175"/>
      <c r="C128" s="175"/>
      <c r="D128" s="175"/>
      <c r="E128" s="175"/>
      <c r="F128" s="278"/>
      <c r="G128" s="176"/>
      <c r="H128" s="177"/>
    </row>
    <row r="129" spans="1:9" x14ac:dyDescent="0.25">
      <c r="A129" s="173" t="str">
        <f>Orçamento!A$99</f>
        <v>7.5.8</v>
      </c>
      <c r="B129" s="282" t="str">
        <f>Orçamento!B$99</f>
        <v xml:space="preserve"> TJMMG-CP-16</v>
      </c>
      <c r="C129" s="282" t="str">
        <f>Orçamento!C$99</f>
        <v>PRÓPRIO</v>
      </c>
      <c r="D129" s="283" t="s">
        <v>378</v>
      </c>
      <c r="E129" s="282" t="str">
        <f>Orçamento!E$99</f>
        <v>UN</v>
      </c>
      <c r="F129" s="284">
        <v>1</v>
      </c>
      <c r="G129" s="180">
        <f ca="1">SUM(H130:H132)</f>
        <v>277.75099999999998</v>
      </c>
      <c r="H129" s="181">
        <f ca="1">G129*F129</f>
        <v>277.75099999999998</v>
      </c>
    </row>
    <row r="130" spans="1:9" x14ac:dyDescent="0.25">
      <c r="A130" s="174"/>
      <c r="B130" s="276" t="s">
        <v>281</v>
      </c>
      <c r="C130" s="175" t="s">
        <v>19</v>
      </c>
      <c r="D130" s="277" t="s">
        <v>45</v>
      </c>
      <c r="E130" s="175" t="s">
        <v>24</v>
      </c>
      <c r="F130" s="278">
        <v>0.65</v>
      </c>
      <c r="G130" s="176">
        <v>22.34</v>
      </c>
      <c r="H130" s="177">
        <f>G130*F130</f>
        <v>14.521000000000001</v>
      </c>
    </row>
    <row r="131" spans="1:9" x14ac:dyDescent="0.25">
      <c r="A131" s="174"/>
      <c r="B131" s="175">
        <v>88264</v>
      </c>
      <c r="C131" s="175" t="s">
        <v>19</v>
      </c>
      <c r="D131" s="175" t="s">
        <v>46</v>
      </c>
      <c r="E131" s="175" t="s">
        <v>24</v>
      </c>
      <c r="F131" s="278">
        <f>0.65*2</f>
        <v>1.3</v>
      </c>
      <c r="G131" s="176">
        <v>27.8</v>
      </c>
      <c r="H131" s="177">
        <f t="shared" ref="H131:H132" si="23">G131*F131</f>
        <v>36.14</v>
      </c>
    </row>
    <row r="132" spans="1:9" x14ac:dyDescent="0.25">
      <c r="A132" s="174"/>
      <c r="B132" s="276" t="str">
        <f>'COT.'!$A$68</f>
        <v>COT-11</v>
      </c>
      <c r="C132" s="175" t="s">
        <v>23</v>
      </c>
      <c r="D132" s="175" t="s">
        <v>297</v>
      </c>
      <c r="E132" s="175" t="s">
        <v>6</v>
      </c>
      <c r="F132" s="278">
        <v>1</v>
      </c>
      <c r="G132" s="176">
        <f ca="1">'COT.'!$E$68</f>
        <v>227.09</v>
      </c>
      <c r="H132" s="177">
        <f t="shared" ca="1" si="23"/>
        <v>227.09</v>
      </c>
    </row>
    <row r="133" spans="1:9" x14ac:dyDescent="0.25">
      <c r="A133" s="174"/>
      <c r="B133" s="175"/>
      <c r="C133" s="175"/>
      <c r="D133" s="175"/>
      <c r="E133" s="175"/>
      <c r="F133" s="278"/>
      <c r="G133" s="176"/>
      <c r="H133" s="177"/>
    </row>
    <row r="134" spans="1:9" x14ac:dyDescent="0.25">
      <c r="A134" s="173" t="str">
        <f>Orçamento!A100</f>
        <v>7.5.9</v>
      </c>
      <c r="B134" s="282" t="str">
        <f>Orçamento!B100</f>
        <v xml:space="preserve"> TJMMG-CP-17</v>
      </c>
      <c r="C134" s="282" t="str">
        <f>Orçamento!C100</f>
        <v>PRÓPRIO</v>
      </c>
      <c r="D134" s="283" t="str">
        <f>Orçamento!D100</f>
        <v>REINSTALAÇÃO DE LUMINÁRIAS</v>
      </c>
      <c r="E134" s="282" t="str">
        <f>Orçamento!E100</f>
        <v>UN</v>
      </c>
      <c r="F134" s="284">
        <v>1</v>
      </c>
      <c r="G134" s="180">
        <f>SUM(H135:H136)</f>
        <v>50.661000000000001</v>
      </c>
      <c r="H134" s="181">
        <f>G134*F134</f>
        <v>50.661000000000001</v>
      </c>
    </row>
    <row r="135" spans="1:9" x14ac:dyDescent="0.25">
      <c r="A135" s="174"/>
      <c r="B135" s="276" t="s">
        <v>281</v>
      </c>
      <c r="C135" s="175" t="s">
        <v>19</v>
      </c>
      <c r="D135" s="277" t="s">
        <v>45</v>
      </c>
      <c r="E135" s="175" t="s">
        <v>24</v>
      </c>
      <c r="F135" s="278">
        <v>0.65</v>
      </c>
      <c r="G135" s="176">
        <v>22.34</v>
      </c>
      <c r="H135" s="177">
        <f>G135*F135</f>
        <v>14.521000000000001</v>
      </c>
    </row>
    <row r="136" spans="1:9" x14ac:dyDescent="0.25">
      <c r="A136" s="174"/>
      <c r="B136" s="175">
        <v>88264</v>
      </c>
      <c r="C136" s="175" t="s">
        <v>19</v>
      </c>
      <c r="D136" s="175" t="s">
        <v>46</v>
      </c>
      <c r="E136" s="175" t="s">
        <v>24</v>
      </c>
      <c r="F136" s="278">
        <f>0.65*2</f>
        <v>1.3</v>
      </c>
      <c r="G136" s="176">
        <v>27.8</v>
      </c>
      <c r="H136" s="177">
        <f t="shared" ref="H136" si="24">G136*F136</f>
        <v>36.14</v>
      </c>
    </row>
    <row r="137" spans="1:9" x14ac:dyDescent="0.25">
      <c r="A137" s="174"/>
      <c r="B137" s="175"/>
      <c r="C137" s="175"/>
      <c r="D137" s="175"/>
      <c r="E137" s="175"/>
      <c r="F137" s="278"/>
      <c r="G137" s="176"/>
      <c r="H137" s="177"/>
    </row>
    <row r="138" spans="1:9" ht="30" x14ac:dyDescent="0.25">
      <c r="A138" s="173" t="str">
        <f>Orçamento!A107</f>
        <v>8.2.2</v>
      </c>
      <c r="B138" s="282" t="str">
        <f>Orçamento!B107</f>
        <v>11413 ADP.</v>
      </c>
      <c r="C138" s="282" t="str">
        <f>Orçamento!C107</f>
        <v>ORSE / COTAÇÃO</v>
      </c>
      <c r="D138" s="283" t="str">
        <f>Orçamento!D107</f>
        <v>CABO DE COBRE FLEXÍVEL, COM ISOLAMENTO TERMOPLÁSTICO POLIOLEFINICO NÃO HALOGENADO 1000V, BITOLA 3 X 2,5 MM2</v>
      </c>
      <c r="E138" s="282" t="str">
        <f>Orçamento!E107</f>
        <v>M</v>
      </c>
      <c r="F138" s="284">
        <v>1</v>
      </c>
      <c r="G138" s="180">
        <f>SUM(H139:H141)</f>
        <v>14.463000000000001</v>
      </c>
      <c r="H138" s="181">
        <f>G138*F138</f>
        <v>14.463000000000001</v>
      </c>
    </row>
    <row r="139" spans="1:9" x14ac:dyDescent="0.25">
      <c r="A139" s="174"/>
      <c r="B139" s="175">
        <v>88264</v>
      </c>
      <c r="C139" s="175" t="s">
        <v>19</v>
      </c>
      <c r="D139" s="175" t="s">
        <v>46</v>
      </c>
      <c r="E139" s="175" t="s">
        <v>24</v>
      </c>
      <c r="F139" s="278">
        <v>0.1</v>
      </c>
      <c r="G139" s="176">
        <v>27.8</v>
      </c>
      <c r="H139" s="177">
        <f t="shared" ref="H139:H140" si="25">G139*F139</f>
        <v>2.7800000000000002</v>
      </c>
    </row>
    <row r="140" spans="1:9" x14ac:dyDescent="0.25">
      <c r="A140" s="174"/>
      <c r="B140" s="175">
        <v>88247</v>
      </c>
      <c r="C140" s="175" t="s">
        <v>19</v>
      </c>
      <c r="D140" s="175" t="s">
        <v>436</v>
      </c>
      <c r="E140" s="175" t="s">
        <v>24</v>
      </c>
      <c r="F140" s="278">
        <v>0.1</v>
      </c>
      <c r="G140" s="176">
        <v>22.34</v>
      </c>
      <c r="H140" s="177">
        <f t="shared" si="25"/>
        <v>2.234</v>
      </c>
    </row>
    <row r="141" spans="1:9" x14ac:dyDescent="0.25">
      <c r="A141" s="174"/>
      <c r="B141" s="276" t="s">
        <v>550</v>
      </c>
      <c r="C141" s="175" t="s">
        <v>23</v>
      </c>
      <c r="D141" s="277" t="s">
        <v>610</v>
      </c>
      <c r="E141" s="175" t="s">
        <v>156</v>
      </c>
      <c r="F141" s="278">
        <v>1.1000000000000001</v>
      </c>
      <c r="G141" s="176">
        <v>8.59</v>
      </c>
      <c r="H141" s="177">
        <f>G141*F141</f>
        <v>9.4489999999999998</v>
      </c>
    </row>
    <row r="142" spans="1:9" x14ac:dyDescent="0.25">
      <c r="A142" s="174"/>
      <c r="B142" s="175"/>
      <c r="C142" s="175"/>
      <c r="D142" s="175"/>
      <c r="E142" s="175"/>
      <c r="F142" s="278"/>
      <c r="G142" s="176"/>
      <c r="H142" s="177"/>
    </row>
    <row r="143" spans="1:9" ht="30" x14ac:dyDescent="0.25">
      <c r="A143" s="173" t="str">
        <f>Orçamento!A111</f>
        <v>8.3.3</v>
      </c>
      <c r="B143" s="297" t="str">
        <f>Orçamento!B111</f>
        <v xml:space="preserve"> TJMMG-CP-18</v>
      </c>
      <c r="C143" s="282" t="str">
        <f>Orçamento!C111</f>
        <v>PRÓPRIO</v>
      </c>
      <c r="D143" s="283" t="str">
        <f>Orçamento!D111</f>
        <v>TOMADA MÉDIA DE EMBUTIR (2 MÓDULOS), 2P+T 10 A, INCLUINDO SUPORTE E PLACA - FORNECIMENTO E INSTALAÇÃO. AF_03/2023</v>
      </c>
      <c r="E143" s="282" t="str">
        <f>'[5]Orçamento '!$E$157</f>
        <v>UN</v>
      </c>
      <c r="F143" s="282">
        <v>1</v>
      </c>
      <c r="G143" s="180">
        <f ca="1">SUM(H144:H148)</f>
        <v>298.14840000000004</v>
      </c>
      <c r="H143" s="181">
        <f ca="1">G143*F143</f>
        <v>298.14840000000004</v>
      </c>
      <c r="I143" s="118"/>
    </row>
    <row r="144" spans="1:9" x14ac:dyDescent="0.25">
      <c r="A144" s="235"/>
      <c r="B144" s="276" t="s">
        <v>281</v>
      </c>
      <c r="C144" s="175" t="s">
        <v>19</v>
      </c>
      <c r="D144" s="277" t="s">
        <v>45</v>
      </c>
      <c r="E144" s="175" t="s">
        <v>24</v>
      </c>
      <c r="F144" s="175">
        <v>0.06</v>
      </c>
      <c r="G144" s="176">
        <v>22.34</v>
      </c>
      <c r="H144" s="177">
        <f t="shared" ref="H144:H148" si="26">G144*F144</f>
        <v>1.3404</v>
      </c>
      <c r="I144" s="118"/>
    </row>
    <row r="145" spans="1:9" x14ac:dyDescent="0.25">
      <c r="A145" s="235"/>
      <c r="B145" s="175">
        <v>88264</v>
      </c>
      <c r="C145" s="175" t="s">
        <v>19</v>
      </c>
      <c r="D145" s="175" t="s">
        <v>46</v>
      </c>
      <c r="E145" s="175" t="s">
        <v>24</v>
      </c>
      <c r="F145" s="175">
        <v>0.06</v>
      </c>
      <c r="G145" s="176">
        <v>27.8</v>
      </c>
      <c r="H145" s="177">
        <f t="shared" si="26"/>
        <v>1.6679999999999999</v>
      </c>
      <c r="I145" s="118"/>
    </row>
    <row r="146" spans="1:9" x14ac:dyDescent="0.25">
      <c r="A146" s="235"/>
      <c r="B146" s="276" t="s">
        <v>721</v>
      </c>
      <c r="C146" s="175" t="s">
        <v>19</v>
      </c>
      <c r="D146" s="175" t="s">
        <v>722</v>
      </c>
      <c r="E146" s="175" t="s">
        <v>6</v>
      </c>
      <c r="F146" s="175">
        <v>2</v>
      </c>
      <c r="G146" s="176">
        <v>45.92</v>
      </c>
      <c r="H146" s="177">
        <f t="shared" si="26"/>
        <v>91.84</v>
      </c>
      <c r="I146" s="118"/>
    </row>
    <row r="147" spans="1:9" s="183" customFormat="1" ht="30" x14ac:dyDescent="0.25">
      <c r="A147" s="238"/>
      <c r="B147" s="175">
        <v>91995</v>
      </c>
      <c r="C147" s="175" t="s">
        <v>19</v>
      </c>
      <c r="D147" s="277" t="s">
        <v>723</v>
      </c>
      <c r="E147" s="175" t="s">
        <v>6</v>
      </c>
      <c r="F147" s="175">
        <v>4</v>
      </c>
      <c r="G147" s="179">
        <v>25.85</v>
      </c>
      <c r="H147" s="216">
        <f t="shared" si="26"/>
        <v>103.4</v>
      </c>
    </row>
    <row r="148" spans="1:9" x14ac:dyDescent="0.25">
      <c r="A148" s="235"/>
      <c r="B148" s="239" t="str">
        <f>'COT.'!A182</f>
        <v>COT-31</v>
      </c>
      <c r="C148" s="118" t="s">
        <v>23</v>
      </c>
      <c r="D148" s="118" t="s">
        <v>724</v>
      </c>
      <c r="E148" s="175" t="s">
        <v>6</v>
      </c>
      <c r="F148" s="175">
        <v>1</v>
      </c>
      <c r="G148" s="179">
        <f ca="1">'COT.'!E182</f>
        <v>99.9</v>
      </c>
      <c r="H148" s="216">
        <f t="shared" ca="1" si="26"/>
        <v>99.9</v>
      </c>
      <c r="I148" s="118"/>
    </row>
    <row r="149" spans="1:9" x14ac:dyDescent="0.25">
      <c r="A149" s="235"/>
      <c r="B149" s="239"/>
      <c r="E149" s="175"/>
      <c r="F149" s="175"/>
      <c r="G149" s="179"/>
      <c r="H149" s="216"/>
      <c r="I149" s="118"/>
    </row>
    <row r="150" spans="1:9" s="175" customFormat="1" x14ac:dyDescent="0.25">
      <c r="A150" s="173" t="str">
        <f>Orçamento!A127</f>
        <v>9.1.2</v>
      </c>
      <c r="B150" s="282" t="str">
        <f>Orçamento!B127</f>
        <v>TJMMG-CP-19</v>
      </c>
      <c r="C150" s="282" t="str">
        <f>Orçamento!C127</f>
        <v>PRÓPRIO</v>
      </c>
      <c r="D150" s="283" t="str">
        <f>Orçamento!D127</f>
        <v>REORGANIZAÇÃO DO RACK DO PAVIMENTO TÉRREO</v>
      </c>
      <c r="E150" s="282" t="str">
        <f>Orçamento!E127</f>
        <v>UN</v>
      </c>
      <c r="F150" s="284">
        <v>1</v>
      </c>
      <c r="G150" s="180">
        <f>SUM(H151:H153)</f>
        <v>1585.25</v>
      </c>
      <c r="H150" s="181">
        <f>G150*F150</f>
        <v>1585.25</v>
      </c>
      <c r="I150" s="217"/>
    </row>
    <row r="151" spans="1:9" x14ac:dyDescent="0.25">
      <c r="A151" s="174" t="s">
        <v>149</v>
      </c>
      <c r="B151" s="175">
        <v>88264</v>
      </c>
      <c r="C151" s="175" t="s">
        <v>19</v>
      </c>
      <c r="D151" s="277" t="s">
        <v>768</v>
      </c>
      <c r="E151" s="175" t="s">
        <v>112</v>
      </c>
      <c r="F151" s="278">
        <f>8*2.5</f>
        <v>20</v>
      </c>
      <c r="G151" s="176">
        <v>27.8</v>
      </c>
      <c r="H151" s="177">
        <f t="shared" ref="H151" si="27">G151*F151</f>
        <v>556</v>
      </c>
      <c r="I151" s="326"/>
    </row>
    <row r="152" spans="1:9" x14ac:dyDescent="0.25">
      <c r="A152" s="174" t="s">
        <v>149</v>
      </c>
      <c r="B152" s="175">
        <v>88247</v>
      </c>
      <c r="C152" s="175" t="s">
        <v>19</v>
      </c>
      <c r="D152" s="175" t="s">
        <v>45</v>
      </c>
      <c r="E152" s="175" t="s">
        <v>112</v>
      </c>
      <c r="F152" s="278">
        <f>F151</f>
        <v>20</v>
      </c>
      <c r="G152" s="176">
        <v>22.34</v>
      </c>
      <c r="H152" s="177">
        <f>G152*F152</f>
        <v>446.8</v>
      </c>
      <c r="I152" s="326"/>
    </row>
    <row r="153" spans="1:9" x14ac:dyDescent="0.25">
      <c r="A153" s="174" t="s">
        <v>149</v>
      </c>
      <c r="B153" s="276" t="s">
        <v>767</v>
      </c>
      <c r="C153" s="175" t="s">
        <v>19</v>
      </c>
      <c r="D153" s="277" t="s">
        <v>766</v>
      </c>
      <c r="E153" s="175" t="s">
        <v>112</v>
      </c>
      <c r="F153" s="278">
        <f>2*2.5</f>
        <v>5</v>
      </c>
      <c r="G153" s="176">
        <v>116.49</v>
      </c>
      <c r="H153" s="177">
        <f t="shared" ref="H153" si="28">G153*F153</f>
        <v>582.44999999999993</v>
      </c>
    </row>
    <row r="154" spans="1:9" x14ac:dyDescent="0.25">
      <c r="A154" s="174"/>
      <c r="B154" s="276"/>
      <c r="C154" s="175"/>
      <c r="D154" s="277"/>
      <c r="E154" s="175"/>
      <c r="F154" s="278"/>
      <c r="G154" s="176"/>
      <c r="H154" s="177"/>
    </row>
    <row r="155" spans="1:9" x14ac:dyDescent="0.25">
      <c r="A155" s="173" t="str">
        <f>Orçamento!A130</f>
        <v>9.2.2</v>
      </c>
      <c r="B155" s="282" t="str">
        <f>Orçamento!B130</f>
        <v xml:space="preserve"> TJMMG-CP-20</v>
      </c>
      <c r="C155" s="282" t="str">
        <f>Orçamento!C130</f>
        <v>PRÓPRIO</v>
      </c>
      <c r="D155" s="283" t="str">
        <f>Orçamento!D130</f>
        <v xml:space="preserve">CONECTOR MACHO RJ45 CAT 6A - FORNECIMENTO E INSTALAÇÃO </v>
      </c>
      <c r="E155" s="282" t="str">
        <f>Orçamento!E130</f>
        <v>UN</v>
      </c>
      <c r="F155" s="284">
        <v>1</v>
      </c>
      <c r="G155" s="180">
        <f ca="1">SUM(H156:H158)</f>
        <v>16.428000000000001</v>
      </c>
      <c r="H155" s="181">
        <f ca="1">G155*F155</f>
        <v>16.428000000000001</v>
      </c>
    </row>
    <row r="156" spans="1:9" x14ac:dyDescent="0.25">
      <c r="A156" s="174"/>
      <c r="B156" s="175">
        <v>88264</v>
      </c>
      <c r="C156" s="175" t="s">
        <v>19</v>
      </c>
      <c r="D156" s="175" t="s">
        <v>46</v>
      </c>
      <c r="E156" s="175" t="s">
        <v>24</v>
      </c>
      <c r="F156" s="278">
        <v>0.2</v>
      </c>
      <c r="G156" s="176">
        <v>27.8</v>
      </c>
      <c r="H156" s="177">
        <f t="shared" ref="H156:H157" si="29">G156*F156</f>
        <v>5.5600000000000005</v>
      </c>
    </row>
    <row r="157" spans="1:9" x14ac:dyDescent="0.25">
      <c r="A157" s="174"/>
      <c r="B157" s="175">
        <v>88247</v>
      </c>
      <c r="C157" s="175" t="s">
        <v>19</v>
      </c>
      <c r="D157" s="175" t="s">
        <v>436</v>
      </c>
      <c r="E157" s="175" t="s">
        <v>24</v>
      </c>
      <c r="F157" s="278">
        <v>0.2</v>
      </c>
      <c r="G157" s="176">
        <v>22.34</v>
      </c>
      <c r="H157" s="177">
        <f t="shared" si="29"/>
        <v>4.468</v>
      </c>
    </row>
    <row r="158" spans="1:9" x14ac:dyDescent="0.25">
      <c r="A158" s="174"/>
      <c r="B158" s="276" t="str">
        <f>'COT.'!A176</f>
        <v>COT-30</v>
      </c>
      <c r="C158" s="175" t="s">
        <v>23</v>
      </c>
      <c r="D158" s="277" t="str">
        <f>'COT.'!B176</f>
        <v>CONECTOR MACHO RJ45 CAT 6A</v>
      </c>
      <c r="E158" s="175" t="s">
        <v>177</v>
      </c>
      <c r="F158" s="278">
        <v>1</v>
      </c>
      <c r="G158" s="176">
        <f ca="1">'COT.'!E176</f>
        <v>6.4</v>
      </c>
      <c r="H158" s="177">
        <f ca="1">G158*F158</f>
        <v>6.4</v>
      </c>
    </row>
    <row r="159" spans="1:9" x14ac:dyDescent="0.25">
      <c r="A159" s="174"/>
      <c r="B159" s="175"/>
      <c r="C159" s="175"/>
      <c r="D159" s="175"/>
      <c r="E159" s="175"/>
      <c r="F159" s="278"/>
      <c r="G159" s="176"/>
      <c r="H159" s="177"/>
    </row>
    <row r="160" spans="1:9" x14ac:dyDescent="0.25">
      <c r="A160" s="173" t="str">
        <f>Orçamento!A$148</f>
        <v>9.5.3</v>
      </c>
      <c r="B160" s="282" t="str">
        <f>Orçamento!B$148</f>
        <v>11819 APD.</v>
      </c>
      <c r="C160" s="282" t="str">
        <f>Orçamento!C$148</f>
        <v>ORSE ADP.</v>
      </c>
      <c r="D160" s="283" t="s">
        <v>454</v>
      </c>
      <c r="E160" s="282" t="str">
        <f>Orçamento!E$148</f>
        <v>UN</v>
      </c>
      <c r="F160" s="284">
        <v>1</v>
      </c>
      <c r="G160" s="180">
        <f>SUM(H161:H163)</f>
        <v>6.3640000000000008</v>
      </c>
      <c r="H160" s="181">
        <f>G160*F160</f>
        <v>6.3640000000000008</v>
      </c>
    </row>
    <row r="161" spans="1:8" x14ac:dyDescent="0.25">
      <c r="A161" s="174"/>
      <c r="B161" s="175">
        <v>88264</v>
      </c>
      <c r="C161" s="175" t="s">
        <v>19</v>
      </c>
      <c r="D161" s="175" t="s">
        <v>46</v>
      </c>
      <c r="E161" s="175" t="s">
        <v>24</v>
      </c>
      <c r="F161" s="278">
        <v>0.1</v>
      </c>
      <c r="G161" s="176">
        <v>27.8</v>
      </c>
      <c r="H161" s="177">
        <f t="shared" ref="H161:H162" si="30">G161*F161</f>
        <v>2.7800000000000002</v>
      </c>
    </row>
    <row r="162" spans="1:8" x14ac:dyDescent="0.25">
      <c r="A162" s="174"/>
      <c r="B162" s="175">
        <v>88247</v>
      </c>
      <c r="C162" s="175" t="s">
        <v>19</v>
      </c>
      <c r="D162" s="175" t="s">
        <v>436</v>
      </c>
      <c r="E162" s="175" t="s">
        <v>24</v>
      </c>
      <c r="F162" s="278">
        <v>0.1</v>
      </c>
      <c r="G162" s="176">
        <v>22.34</v>
      </c>
      <c r="H162" s="177">
        <f t="shared" si="30"/>
        <v>2.234</v>
      </c>
    </row>
    <row r="163" spans="1:8" x14ac:dyDescent="0.25">
      <c r="A163" s="174"/>
      <c r="B163" s="175">
        <v>3309</v>
      </c>
      <c r="C163" s="175" t="s">
        <v>153</v>
      </c>
      <c r="D163" s="277" t="s">
        <v>454</v>
      </c>
      <c r="E163" s="175" t="s">
        <v>177</v>
      </c>
      <c r="F163" s="278">
        <v>1</v>
      </c>
      <c r="G163" s="176">
        <v>1.35</v>
      </c>
      <c r="H163" s="177">
        <f>G163*F163</f>
        <v>1.35</v>
      </c>
    </row>
    <row r="164" spans="1:8" x14ac:dyDescent="0.25">
      <c r="A164" s="174"/>
      <c r="B164" s="175"/>
      <c r="C164" s="175"/>
      <c r="D164" s="175"/>
      <c r="E164" s="175"/>
      <c r="F164" s="278"/>
      <c r="G164" s="176"/>
      <c r="H164" s="177"/>
    </row>
    <row r="165" spans="1:8" x14ac:dyDescent="0.25">
      <c r="A165" s="173" t="str">
        <f>Orçamento!A$161</f>
        <v>10.1</v>
      </c>
      <c r="B165" s="282" t="str">
        <f>Orçamento!B$161</f>
        <v>11978 ADP. 1</v>
      </c>
      <c r="C165" s="282" t="str">
        <f>Orçamento!C$161</f>
        <v>ORSE</v>
      </c>
      <c r="D165" s="283" t="s">
        <v>467</v>
      </c>
      <c r="E165" s="282" t="str">
        <f>Orçamento!E$161</f>
        <v>UN</v>
      </c>
      <c r="F165" s="284">
        <v>1</v>
      </c>
      <c r="G165" s="180">
        <f>SUM(H166:H167)</f>
        <v>25.07</v>
      </c>
      <c r="H165" s="181">
        <f>G165*F165</f>
        <v>25.07</v>
      </c>
    </row>
    <row r="166" spans="1:8" x14ac:dyDescent="0.25">
      <c r="A166" s="174"/>
      <c r="B166" s="175">
        <v>88264</v>
      </c>
      <c r="C166" s="175" t="s">
        <v>19</v>
      </c>
      <c r="D166" s="175" t="s">
        <v>46</v>
      </c>
      <c r="E166" s="175" t="s">
        <v>24</v>
      </c>
      <c r="F166" s="278">
        <v>0.5</v>
      </c>
      <c r="G166" s="176">
        <v>27.8</v>
      </c>
      <c r="H166" s="177">
        <f t="shared" ref="H166:H167" si="31">G166*F166</f>
        <v>13.9</v>
      </c>
    </row>
    <row r="167" spans="1:8" x14ac:dyDescent="0.25">
      <c r="A167" s="174"/>
      <c r="B167" s="175">
        <v>88247</v>
      </c>
      <c r="C167" s="175" t="s">
        <v>19</v>
      </c>
      <c r="D167" s="175" t="s">
        <v>436</v>
      </c>
      <c r="E167" s="175" t="s">
        <v>24</v>
      </c>
      <c r="F167" s="278">
        <v>0.5</v>
      </c>
      <c r="G167" s="176">
        <v>22.34</v>
      </c>
      <c r="H167" s="177">
        <f t="shared" si="31"/>
        <v>11.17</v>
      </c>
    </row>
    <row r="168" spans="1:8" x14ac:dyDescent="0.25">
      <c r="A168" s="174"/>
      <c r="B168" s="175"/>
      <c r="C168" s="175"/>
      <c r="D168" s="175"/>
      <c r="E168" s="175"/>
      <c r="F168" s="278"/>
      <c r="G168" s="176"/>
      <c r="H168" s="177"/>
    </row>
    <row r="169" spans="1:8" x14ac:dyDescent="0.25">
      <c r="A169" s="173" t="str">
        <f>Orçamento!A$163</f>
        <v>10.3</v>
      </c>
      <c r="B169" s="282" t="str">
        <f>Orçamento!B163</f>
        <v>ED-26989</v>
      </c>
      <c r="C169" s="282" t="str">
        <f>Orçamento!C$161</f>
        <v>ORSE</v>
      </c>
      <c r="D169" s="283" t="s">
        <v>547</v>
      </c>
      <c r="E169" s="282" t="str">
        <f>Orçamento!E$161</f>
        <v>UN</v>
      </c>
      <c r="F169" s="284">
        <v>1</v>
      </c>
      <c r="G169" s="180">
        <f>SUM(H170:H171)</f>
        <v>25.07</v>
      </c>
      <c r="H169" s="181">
        <f>G169*F169</f>
        <v>25.07</v>
      </c>
    </row>
    <row r="170" spans="1:8" x14ac:dyDescent="0.25">
      <c r="A170" s="174"/>
      <c r="B170" s="175">
        <v>88264</v>
      </c>
      <c r="C170" s="175" t="s">
        <v>19</v>
      </c>
      <c r="D170" s="175" t="s">
        <v>46</v>
      </c>
      <c r="E170" s="175" t="s">
        <v>24</v>
      </c>
      <c r="F170" s="278">
        <v>0.5</v>
      </c>
      <c r="G170" s="176">
        <v>27.8</v>
      </c>
      <c r="H170" s="177">
        <f t="shared" ref="H170:H171" si="32">G170*F170</f>
        <v>13.9</v>
      </c>
    </row>
    <row r="171" spans="1:8" x14ac:dyDescent="0.25">
      <c r="A171" s="174"/>
      <c r="B171" s="175">
        <v>88247</v>
      </c>
      <c r="C171" s="175" t="s">
        <v>19</v>
      </c>
      <c r="D171" s="175" t="s">
        <v>436</v>
      </c>
      <c r="E171" s="175" t="s">
        <v>24</v>
      </c>
      <c r="F171" s="278">
        <v>0.5</v>
      </c>
      <c r="G171" s="176">
        <v>22.34</v>
      </c>
      <c r="H171" s="177">
        <f t="shared" si="32"/>
        <v>11.17</v>
      </c>
    </row>
    <row r="172" spans="1:8" x14ac:dyDescent="0.25">
      <c r="A172" s="174"/>
      <c r="B172" s="175"/>
      <c r="C172" s="175"/>
      <c r="D172" s="175"/>
      <c r="E172" s="175"/>
      <c r="F172" s="278"/>
      <c r="G172" s="176"/>
      <c r="H172" s="177"/>
    </row>
    <row r="173" spans="1:8" x14ac:dyDescent="0.25">
      <c r="A173" s="173" t="str">
        <f>Orçamento!A$171</f>
        <v>11.6</v>
      </c>
      <c r="B173" s="282" t="str">
        <f>Orçamento!B$171</f>
        <v>9845 ADP.</v>
      </c>
      <c r="C173" s="282" t="str">
        <f>Orçamento!C$171</f>
        <v>ORSE / COTAÇÃO</v>
      </c>
      <c r="D173" s="283" t="s">
        <v>564</v>
      </c>
      <c r="E173" s="282" t="str">
        <f>Orçamento!E$171</f>
        <v>UN</v>
      </c>
      <c r="F173" s="284">
        <v>1</v>
      </c>
      <c r="G173" s="180">
        <f ca="1">SUM(H174:H175)</f>
        <v>86.454000000000008</v>
      </c>
      <c r="H173" s="181">
        <f ca="1">G173*F173</f>
        <v>86.454000000000008</v>
      </c>
    </row>
    <row r="174" spans="1:8" x14ac:dyDescent="0.25">
      <c r="A174" s="174"/>
      <c r="B174" s="175">
        <v>34794</v>
      </c>
      <c r="C174" s="175" t="s">
        <v>19</v>
      </c>
      <c r="D174" s="175" t="s">
        <v>579</v>
      </c>
      <c r="E174" s="175" t="s">
        <v>112</v>
      </c>
      <c r="F174" s="278">
        <v>0.2</v>
      </c>
      <c r="G174" s="176">
        <v>23.07</v>
      </c>
      <c r="H174" s="177">
        <f t="shared" ref="H174:H175" si="33">G174*F174</f>
        <v>4.6139999999999999</v>
      </c>
    </row>
    <row r="175" spans="1:8" x14ac:dyDescent="0.25">
      <c r="A175" s="174"/>
      <c r="B175" s="276" t="str">
        <f>'COT.'!$A$116</f>
        <v>COT-20</v>
      </c>
      <c r="C175" s="175" t="s">
        <v>23</v>
      </c>
      <c r="D175" s="175" t="s">
        <v>564</v>
      </c>
      <c r="E175" s="175" t="s">
        <v>573</v>
      </c>
      <c r="F175" s="278">
        <v>1</v>
      </c>
      <c r="G175" s="176">
        <f ca="1">'COT.'!$E$116</f>
        <v>81.84</v>
      </c>
      <c r="H175" s="177">
        <f t="shared" ca="1" si="33"/>
        <v>81.84</v>
      </c>
    </row>
    <row r="176" spans="1:8" x14ac:dyDescent="0.25">
      <c r="A176" s="174"/>
      <c r="B176" s="175"/>
      <c r="C176" s="175"/>
      <c r="D176" s="175"/>
      <c r="E176" s="175"/>
      <c r="F176" s="278"/>
      <c r="G176" s="176"/>
      <c r="H176" s="177"/>
    </row>
    <row r="177" spans="1:8" x14ac:dyDescent="0.25">
      <c r="A177" s="173" t="str">
        <f>Orçamento!A$172</f>
        <v>11.7</v>
      </c>
      <c r="B177" s="282" t="str">
        <f>Orçamento!B$172</f>
        <v>10762 ADP.1</v>
      </c>
      <c r="C177" s="282" t="str">
        <f>Orçamento!C$172</f>
        <v>ORSE / COTAÇÃO</v>
      </c>
      <c r="D177" s="283" t="s">
        <v>565</v>
      </c>
      <c r="E177" s="282" t="str">
        <f>Orçamento!E$172</f>
        <v>UN</v>
      </c>
      <c r="F177" s="284">
        <v>1</v>
      </c>
      <c r="G177" s="180">
        <f ca="1">SUM(H178:H179)</f>
        <v>34.613999999999997</v>
      </c>
      <c r="H177" s="181">
        <f ca="1">G177*F177</f>
        <v>34.613999999999997</v>
      </c>
    </row>
    <row r="178" spans="1:8" x14ac:dyDescent="0.25">
      <c r="A178" s="174"/>
      <c r="B178" s="175">
        <v>34794</v>
      </c>
      <c r="C178" s="175" t="s">
        <v>19</v>
      </c>
      <c r="D178" s="175" t="s">
        <v>579</v>
      </c>
      <c r="E178" s="175" t="s">
        <v>112</v>
      </c>
      <c r="F178" s="278">
        <v>0.2</v>
      </c>
      <c r="G178" s="176">
        <v>23.07</v>
      </c>
      <c r="H178" s="177">
        <f t="shared" ref="H178:H179" si="34">G178*F178</f>
        <v>4.6139999999999999</v>
      </c>
    </row>
    <row r="179" spans="1:8" x14ac:dyDescent="0.25">
      <c r="A179" s="174"/>
      <c r="B179" s="276" t="str">
        <f>'COT.'!$A$122</f>
        <v>COT-21</v>
      </c>
      <c r="C179" s="175" t="s">
        <v>23</v>
      </c>
      <c r="D179" s="175" t="s">
        <v>565</v>
      </c>
      <c r="E179" s="175" t="s">
        <v>573</v>
      </c>
      <c r="F179" s="278">
        <v>1</v>
      </c>
      <c r="G179" s="176">
        <f ca="1">'COT.'!$E$122</f>
        <v>30</v>
      </c>
      <c r="H179" s="177">
        <f t="shared" ca="1" si="34"/>
        <v>30</v>
      </c>
    </row>
    <row r="180" spans="1:8" x14ac:dyDescent="0.25">
      <c r="A180" s="174"/>
      <c r="B180" s="175"/>
      <c r="C180" s="175"/>
      <c r="D180" s="175"/>
      <c r="E180" s="175"/>
      <c r="F180" s="278"/>
      <c r="G180" s="176"/>
      <c r="H180" s="177"/>
    </row>
    <row r="181" spans="1:8" ht="30" customHeight="1" x14ac:dyDescent="0.25">
      <c r="A181" s="173" t="str">
        <f>Orçamento!A$173</f>
        <v>11.8</v>
      </c>
      <c r="B181" s="286" t="str">
        <f>Orçamento!B$173</f>
        <v>11148 ADP.2</v>
      </c>
      <c r="C181" s="282" t="str">
        <f>Orçamento!C$173</f>
        <v>ORSE / COTAÇÃO</v>
      </c>
      <c r="D181" s="283" t="s">
        <v>580</v>
      </c>
      <c r="E181" s="282" t="str">
        <f>Orçamento!E$173</f>
        <v>UN</v>
      </c>
      <c r="F181" s="284">
        <v>1</v>
      </c>
      <c r="G181" s="180">
        <f ca="1">SUM(H182:H185)</f>
        <v>1480.1399999999999</v>
      </c>
      <c r="H181" s="181">
        <f ca="1">G181*F181</f>
        <v>1480.1399999999999</v>
      </c>
    </row>
    <row r="182" spans="1:8" x14ac:dyDescent="0.25">
      <c r="A182" s="174"/>
      <c r="B182" s="175">
        <v>88264</v>
      </c>
      <c r="C182" s="175" t="s">
        <v>19</v>
      </c>
      <c r="D182" s="175" t="s">
        <v>46</v>
      </c>
      <c r="E182" s="175" t="s">
        <v>24</v>
      </c>
      <c r="F182" s="278">
        <v>1</v>
      </c>
      <c r="G182" s="176">
        <v>27.8</v>
      </c>
      <c r="H182" s="177">
        <f t="shared" ref="H182:H185" si="35">G182*F182</f>
        <v>27.8</v>
      </c>
    </row>
    <row r="183" spans="1:8" x14ac:dyDescent="0.25">
      <c r="A183" s="174"/>
      <c r="B183" s="175">
        <v>88247</v>
      </c>
      <c r="C183" s="175" t="s">
        <v>19</v>
      </c>
      <c r="D183" s="175" t="s">
        <v>436</v>
      </c>
      <c r="E183" s="175" t="s">
        <v>24</v>
      </c>
      <c r="F183" s="278">
        <v>1</v>
      </c>
      <c r="G183" s="176">
        <v>22.34</v>
      </c>
      <c r="H183" s="177">
        <f t="shared" si="35"/>
        <v>22.34</v>
      </c>
    </row>
    <row r="184" spans="1:8" x14ac:dyDescent="0.25">
      <c r="A184" s="174"/>
      <c r="B184" s="276" t="str">
        <f>'COT.'!$A$104</f>
        <v>COT-18</v>
      </c>
      <c r="C184" s="175" t="s">
        <v>176</v>
      </c>
      <c r="D184" s="175" t="s">
        <v>562</v>
      </c>
      <c r="E184" s="175" t="s">
        <v>573</v>
      </c>
      <c r="F184" s="278">
        <v>1</v>
      </c>
      <c r="G184" s="176">
        <f ca="1">'COT.'!$E$104</f>
        <v>930</v>
      </c>
      <c r="H184" s="177">
        <f t="shared" ca="1" si="35"/>
        <v>930</v>
      </c>
    </row>
    <row r="185" spans="1:8" x14ac:dyDescent="0.25">
      <c r="A185" s="174"/>
      <c r="B185" s="276" t="str">
        <f>'COT.'!A110</f>
        <v>COT-19</v>
      </c>
      <c r="C185" s="175" t="s">
        <v>23</v>
      </c>
      <c r="D185" s="175" t="s">
        <v>560</v>
      </c>
      <c r="E185" s="175" t="s">
        <v>573</v>
      </c>
      <c r="F185" s="278">
        <v>1</v>
      </c>
      <c r="G185" s="176">
        <f ca="1">'COT.'!E110</f>
        <v>500</v>
      </c>
      <c r="H185" s="177">
        <f t="shared" ca="1" si="35"/>
        <v>500</v>
      </c>
    </row>
    <row r="186" spans="1:8" x14ac:dyDescent="0.25">
      <c r="A186" s="174"/>
      <c r="B186" s="175"/>
      <c r="C186" s="175"/>
      <c r="D186" s="175"/>
      <c r="E186" s="175"/>
      <c r="F186" s="278"/>
      <c r="G186" s="176"/>
      <c r="H186" s="177"/>
    </row>
    <row r="187" spans="1:8" ht="36.75" customHeight="1" x14ac:dyDescent="0.25">
      <c r="A187" s="173" t="str">
        <f>Orçamento!A$174</f>
        <v>11.9</v>
      </c>
      <c r="B187" s="286" t="str">
        <f>Orçamento!B$174</f>
        <v>103246 ADP.</v>
      </c>
      <c r="C187" s="282" t="str">
        <f>Orçamento!C$174</f>
        <v>SINAPI / COTAÇÃO</v>
      </c>
      <c r="D187" s="283" t="s">
        <v>567</v>
      </c>
      <c r="E187" s="282" t="str">
        <f>Orçamento!E$174</f>
        <v>UN</v>
      </c>
      <c r="F187" s="284">
        <v>1</v>
      </c>
      <c r="G187" s="180">
        <f ca="1">SUM(H188:H197)</f>
        <v>3064.4796000000001</v>
      </c>
      <c r="H187" s="181">
        <f ca="1">G187*F187</f>
        <v>3064.4796000000001</v>
      </c>
    </row>
    <row r="188" spans="1:8" ht="30" x14ac:dyDescent="0.25">
      <c r="A188" s="174"/>
      <c r="B188" s="175">
        <v>1570</v>
      </c>
      <c r="C188" s="175" t="s">
        <v>19</v>
      </c>
      <c r="D188" s="277" t="s">
        <v>585</v>
      </c>
      <c r="E188" s="175" t="s">
        <v>573</v>
      </c>
      <c r="F188" s="278">
        <v>10</v>
      </c>
      <c r="G188" s="176">
        <v>1.35</v>
      </c>
      <c r="H188" s="177">
        <f t="shared" ref="H188:H197" si="36">G188*F188</f>
        <v>13.5</v>
      </c>
    </row>
    <row r="189" spans="1:8" ht="30" x14ac:dyDescent="0.25">
      <c r="A189" s="174"/>
      <c r="B189" s="175">
        <v>7568</v>
      </c>
      <c r="C189" s="175" t="s">
        <v>19</v>
      </c>
      <c r="D189" s="277" t="s">
        <v>588</v>
      </c>
      <c r="E189" s="175" t="s">
        <v>573</v>
      </c>
      <c r="F189" s="278">
        <v>9</v>
      </c>
      <c r="G189" s="176">
        <v>0.73</v>
      </c>
      <c r="H189" s="177">
        <f t="shared" si="36"/>
        <v>6.57</v>
      </c>
    </row>
    <row r="190" spans="1:8" x14ac:dyDescent="0.25">
      <c r="A190" s="174"/>
      <c r="B190" s="276" t="s">
        <v>586</v>
      </c>
      <c r="C190" s="175" t="s">
        <v>19</v>
      </c>
      <c r="D190" s="277" t="s">
        <v>589</v>
      </c>
      <c r="E190" s="175" t="s">
        <v>573</v>
      </c>
      <c r="F190" s="278">
        <v>6</v>
      </c>
      <c r="G190" s="176">
        <v>1.55</v>
      </c>
      <c r="H190" s="177">
        <f t="shared" si="36"/>
        <v>9.3000000000000007</v>
      </c>
    </row>
    <row r="191" spans="1:8" ht="30" x14ac:dyDescent="0.25">
      <c r="A191" s="174"/>
      <c r="B191" s="276" t="s">
        <v>587</v>
      </c>
      <c r="C191" s="175" t="s">
        <v>19</v>
      </c>
      <c r="D191" s="277" t="s">
        <v>590</v>
      </c>
      <c r="E191" s="175" t="s">
        <v>573</v>
      </c>
      <c r="F191" s="278">
        <v>4</v>
      </c>
      <c r="G191" s="176">
        <v>0.57999999999999996</v>
      </c>
      <c r="H191" s="177">
        <f t="shared" si="36"/>
        <v>2.3199999999999998</v>
      </c>
    </row>
    <row r="192" spans="1:8" ht="30" x14ac:dyDescent="0.25">
      <c r="A192" s="174"/>
      <c r="B192" s="175">
        <v>37591</v>
      </c>
      <c r="C192" s="175" t="s">
        <v>19</v>
      </c>
      <c r="D192" s="277" t="s">
        <v>591</v>
      </c>
      <c r="E192" s="175" t="s">
        <v>573</v>
      </c>
      <c r="F192" s="278">
        <v>2</v>
      </c>
      <c r="G192" s="176">
        <v>20.47</v>
      </c>
      <c r="H192" s="177">
        <f t="shared" si="36"/>
        <v>40.94</v>
      </c>
    </row>
    <row r="193" spans="1:9" x14ac:dyDescent="0.25">
      <c r="A193" s="174"/>
      <c r="B193" s="276" t="str">
        <f>'COT.'!$A$188</f>
        <v>COT-32</v>
      </c>
      <c r="C193" s="175" t="s">
        <v>23</v>
      </c>
      <c r="D193" s="277" t="str">
        <f>'COT.'!$B$188</f>
        <v>CALÇOS DE BORRACHA NEOPRENE</v>
      </c>
      <c r="E193" s="175" t="s">
        <v>573</v>
      </c>
      <c r="F193" s="278">
        <v>4</v>
      </c>
      <c r="G193" s="176">
        <f ca="1">'COT.'!$E$188</f>
        <v>29.83</v>
      </c>
      <c r="H193" s="177">
        <f t="shared" ca="1" si="36"/>
        <v>119.32</v>
      </c>
    </row>
    <row r="194" spans="1:9" x14ac:dyDescent="0.25">
      <c r="A194" s="174"/>
      <c r="B194" s="175">
        <v>88243</v>
      </c>
      <c r="C194" s="175" t="s">
        <v>19</v>
      </c>
      <c r="D194" s="175" t="s">
        <v>592</v>
      </c>
      <c r="E194" s="175" t="s">
        <v>112</v>
      </c>
      <c r="F194" s="278">
        <v>8</v>
      </c>
      <c r="G194" s="176">
        <v>21.76</v>
      </c>
      <c r="H194" s="177">
        <f t="shared" si="36"/>
        <v>174.08</v>
      </c>
    </row>
    <row r="195" spans="1:9" x14ac:dyDescent="0.25">
      <c r="A195" s="174"/>
      <c r="B195" s="175">
        <v>34794</v>
      </c>
      <c r="C195" s="175" t="s">
        <v>19</v>
      </c>
      <c r="D195" s="175" t="s">
        <v>579</v>
      </c>
      <c r="E195" s="175" t="s">
        <v>112</v>
      </c>
      <c r="F195" s="278">
        <v>8</v>
      </c>
      <c r="G195" s="176">
        <v>23.07</v>
      </c>
      <c r="H195" s="177">
        <f t="shared" si="36"/>
        <v>184.56</v>
      </c>
    </row>
    <row r="196" spans="1:9" ht="31.5" customHeight="1" x14ac:dyDescent="0.25">
      <c r="A196" s="174"/>
      <c r="B196" s="276" t="str">
        <f>'COT.'!$A$128</f>
        <v>COT-22</v>
      </c>
      <c r="C196" s="175" t="s">
        <v>23</v>
      </c>
      <c r="D196" s="277" t="s">
        <v>567</v>
      </c>
      <c r="E196" s="175" t="s">
        <v>573</v>
      </c>
      <c r="F196" s="278">
        <v>1</v>
      </c>
      <c r="G196" s="176">
        <f ca="1">'COT.'!$E$128</f>
        <v>2054.04</v>
      </c>
      <c r="H196" s="177">
        <f t="shared" ca="1" si="36"/>
        <v>2054.04</v>
      </c>
    </row>
    <row r="197" spans="1:9" s="30" customFormat="1" ht="45" x14ac:dyDescent="0.25">
      <c r="A197" s="100"/>
      <c r="B197" s="175">
        <v>91784</v>
      </c>
      <c r="C197" s="175" t="s">
        <v>19</v>
      </c>
      <c r="D197" s="277" t="s">
        <v>775</v>
      </c>
      <c r="E197" s="175" t="s">
        <v>156</v>
      </c>
      <c r="F197" s="278">
        <f>6.08+2.5+1.5</f>
        <v>10.08</v>
      </c>
      <c r="G197" s="179">
        <v>45.62</v>
      </c>
      <c r="H197" s="216">
        <f t="shared" si="36"/>
        <v>459.84959999999995</v>
      </c>
      <c r="I197" s="327"/>
    </row>
    <row r="198" spans="1:9" x14ac:dyDescent="0.25">
      <c r="A198" s="174"/>
      <c r="B198" s="175"/>
      <c r="C198" s="175"/>
      <c r="D198" s="175"/>
      <c r="E198" s="175"/>
      <c r="F198" s="278"/>
      <c r="G198" s="176"/>
      <c r="H198" s="177"/>
    </row>
    <row r="199" spans="1:9" ht="30" x14ac:dyDescent="0.25">
      <c r="A199" s="182" t="str">
        <f>Orçamento!A$175</f>
        <v>11.10</v>
      </c>
      <c r="B199" s="287" t="str">
        <f>Orçamento!B$175</f>
        <v xml:space="preserve"> TJMMG-CP-21</v>
      </c>
      <c r="C199" s="283" t="str">
        <f>Orçamento!C$175</f>
        <v>PRÓPRIO</v>
      </c>
      <c r="D199" s="283" t="str">
        <f>Orçamento!D175</f>
        <v>REPOSICIONAR CONJUNTO DO TIPO SPLIT HI-WALL DE 22.000 Btu/h.  (INCLUSO COMPLEMENTO DE TUBULAÇÃO E DRENO)</v>
      </c>
      <c r="E199" s="283" t="str">
        <f>Orçamento!E$175</f>
        <v>UN</v>
      </c>
      <c r="F199" s="284">
        <v>1</v>
      </c>
      <c r="G199" s="180">
        <f ca="1">SUM(H200:H209)</f>
        <v>1010.38</v>
      </c>
      <c r="H199" s="181">
        <f ca="1">G199*F199</f>
        <v>1010.38</v>
      </c>
    </row>
    <row r="200" spans="1:9" ht="30" x14ac:dyDescent="0.25">
      <c r="A200" s="174"/>
      <c r="B200" s="175">
        <v>1570</v>
      </c>
      <c r="C200" s="175" t="s">
        <v>19</v>
      </c>
      <c r="D200" s="277" t="s">
        <v>593</v>
      </c>
      <c r="E200" s="175" t="s">
        <v>573</v>
      </c>
      <c r="F200" s="278">
        <f>10</f>
        <v>10</v>
      </c>
      <c r="G200" s="176">
        <v>1.35</v>
      </c>
      <c r="H200" s="177">
        <f t="shared" ref="H200" si="37">G200*F200</f>
        <v>13.5</v>
      </c>
    </row>
    <row r="201" spans="1:9" x14ac:dyDescent="0.25">
      <c r="A201" s="174"/>
      <c r="B201" s="276" t="s">
        <v>586</v>
      </c>
      <c r="C201" s="175" t="s">
        <v>19</v>
      </c>
      <c r="D201" s="277" t="s">
        <v>589</v>
      </c>
      <c r="E201" s="175" t="s">
        <v>573</v>
      </c>
      <c r="F201" s="278">
        <f>10</f>
        <v>10</v>
      </c>
      <c r="G201" s="176">
        <v>1.55</v>
      </c>
      <c r="H201" s="177">
        <f>G201*F201</f>
        <v>15.5</v>
      </c>
    </row>
    <row r="202" spans="1:9" ht="30" x14ac:dyDescent="0.25">
      <c r="A202" s="174"/>
      <c r="B202" s="175">
        <v>13246</v>
      </c>
      <c r="C202" s="175" t="s">
        <v>19</v>
      </c>
      <c r="D202" s="277" t="s">
        <v>590</v>
      </c>
      <c r="E202" s="175" t="s">
        <v>573</v>
      </c>
      <c r="F202" s="278">
        <v>4</v>
      </c>
      <c r="G202" s="176">
        <v>0.57999999999999996</v>
      </c>
      <c r="H202" s="177">
        <f t="shared" ref="H202:H209" si="38">G202*F202</f>
        <v>2.3199999999999998</v>
      </c>
    </row>
    <row r="203" spans="1:9" ht="30" x14ac:dyDescent="0.25">
      <c r="A203" s="174"/>
      <c r="B203" s="175">
        <v>13348</v>
      </c>
      <c r="C203" s="175" t="s">
        <v>19</v>
      </c>
      <c r="D203" s="277" t="s">
        <v>594</v>
      </c>
      <c r="E203" s="175" t="s">
        <v>573</v>
      </c>
      <c r="F203" s="278">
        <v>4</v>
      </c>
      <c r="G203" s="176">
        <v>1.79</v>
      </c>
      <c r="H203" s="177">
        <f t="shared" si="38"/>
        <v>7.16</v>
      </c>
    </row>
    <row r="204" spans="1:9" ht="30" x14ac:dyDescent="0.25">
      <c r="A204" s="174"/>
      <c r="B204" s="175">
        <v>37591</v>
      </c>
      <c r="C204" s="175" t="s">
        <v>19</v>
      </c>
      <c r="D204" s="277" t="s">
        <v>591</v>
      </c>
      <c r="E204" s="175" t="s">
        <v>573</v>
      </c>
      <c r="F204" s="278">
        <v>2</v>
      </c>
      <c r="G204" s="176">
        <v>20.47</v>
      </c>
      <c r="H204" s="177">
        <f t="shared" si="38"/>
        <v>40.94</v>
      </c>
    </row>
    <row r="205" spans="1:9" x14ac:dyDescent="0.25">
      <c r="A205" s="174"/>
      <c r="B205" s="276" t="str">
        <f>'COT.'!$A$188</f>
        <v>COT-32</v>
      </c>
      <c r="C205" s="175" t="s">
        <v>23</v>
      </c>
      <c r="D205" s="277" t="str">
        <f>'COT.'!$B$188</f>
        <v>CALÇOS DE BORRACHA NEOPRENE</v>
      </c>
      <c r="E205" s="175" t="s">
        <v>573</v>
      </c>
      <c r="F205" s="278">
        <v>4</v>
      </c>
      <c r="G205" s="176">
        <f ca="1">'COT.'!$E$188</f>
        <v>29.83</v>
      </c>
      <c r="H205" s="177">
        <f t="shared" ca="1" si="38"/>
        <v>119.32</v>
      </c>
    </row>
    <row r="206" spans="1:9" x14ac:dyDescent="0.25">
      <c r="A206" s="174"/>
      <c r="B206" s="276" t="s">
        <v>595</v>
      </c>
      <c r="C206" s="175" t="s">
        <v>19</v>
      </c>
      <c r="D206" s="277" t="s">
        <v>596</v>
      </c>
      <c r="E206" s="175" t="s">
        <v>573</v>
      </c>
      <c r="F206" s="278">
        <f>8</f>
        <v>8</v>
      </c>
      <c r="G206" s="176">
        <v>0.39</v>
      </c>
      <c r="H206" s="177">
        <f t="shared" si="38"/>
        <v>3.12</v>
      </c>
    </row>
    <row r="207" spans="1:9" x14ac:dyDescent="0.25">
      <c r="A207" s="174"/>
      <c r="B207" s="175">
        <v>88243</v>
      </c>
      <c r="C207" s="175" t="s">
        <v>19</v>
      </c>
      <c r="D207" s="175" t="s">
        <v>592</v>
      </c>
      <c r="E207" s="175" t="s">
        <v>112</v>
      </c>
      <c r="F207" s="278">
        <v>16</v>
      </c>
      <c r="G207" s="176">
        <v>21.76</v>
      </c>
      <c r="H207" s="177">
        <f t="shared" si="38"/>
        <v>348.16</v>
      </c>
    </row>
    <row r="208" spans="1:9" x14ac:dyDescent="0.25">
      <c r="A208" s="174"/>
      <c r="B208" s="175">
        <v>34794</v>
      </c>
      <c r="C208" s="175" t="s">
        <v>19</v>
      </c>
      <c r="D208" s="175" t="s">
        <v>579</v>
      </c>
      <c r="E208" s="175" t="s">
        <v>112</v>
      </c>
      <c r="F208" s="278">
        <v>16</v>
      </c>
      <c r="G208" s="176">
        <v>23.07</v>
      </c>
      <c r="H208" s="177">
        <f t="shared" si="38"/>
        <v>369.12</v>
      </c>
    </row>
    <row r="209" spans="1:9" s="30" customFormat="1" ht="45" x14ac:dyDescent="0.25">
      <c r="A209" s="100"/>
      <c r="B209" s="175">
        <v>91784</v>
      </c>
      <c r="C209" s="175" t="s">
        <v>19</v>
      </c>
      <c r="D209" s="277" t="s">
        <v>775</v>
      </c>
      <c r="E209" s="175" t="s">
        <v>156</v>
      </c>
      <c r="F209" s="278">
        <v>2</v>
      </c>
      <c r="G209" s="179">
        <v>45.62</v>
      </c>
      <c r="H209" s="216">
        <f t="shared" si="38"/>
        <v>91.24</v>
      </c>
      <c r="I209" s="327"/>
    </row>
    <row r="210" spans="1:9" x14ac:dyDescent="0.25">
      <c r="A210" s="174"/>
      <c r="B210" s="175"/>
      <c r="C210" s="175"/>
      <c r="D210" s="175"/>
      <c r="E210" s="175"/>
      <c r="F210" s="278"/>
      <c r="G210" s="176"/>
      <c r="H210" s="177"/>
    </row>
    <row r="211" spans="1:9" s="30" customFormat="1" ht="30" x14ac:dyDescent="0.25">
      <c r="A211" s="274" t="str">
        <f>Orçamento!A176</f>
        <v>11.11</v>
      </c>
      <c r="B211" s="288" t="str">
        <f>Orçamento!B176</f>
        <v xml:space="preserve"> TJMMG-CP-22</v>
      </c>
      <c r="C211" s="289" t="str">
        <f>Orçamento!C176</f>
        <v>PRÓPRIO</v>
      </c>
      <c r="D211" s="289" t="str">
        <f>Orçamento!D176</f>
        <v>REMOÇÃO DE CONJUNTO DO TIPO SPLIT PISO TETO DE 18.000 Btu/h DA SALA DE PROTOCOLO</v>
      </c>
      <c r="E211" s="289" t="str">
        <f>'[6]Orçamento '!E$212</f>
        <v>UN</v>
      </c>
      <c r="F211" s="290">
        <v>1</v>
      </c>
      <c r="G211" s="165">
        <f>SUM(H212:H213)</f>
        <v>358.64</v>
      </c>
      <c r="H211" s="166">
        <f>G211*F211</f>
        <v>358.64</v>
      </c>
      <c r="I211" s="327"/>
    </row>
    <row r="212" spans="1:9" s="30" customFormat="1" x14ac:dyDescent="0.25">
      <c r="A212" s="100"/>
      <c r="B212" s="291">
        <v>88243</v>
      </c>
      <c r="C212" s="33" t="s">
        <v>19</v>
      </c>
      <c r="D212" s="33" t="s">
        <v>592</v>
      </c>
      <c r="E212" s="33" t="s">
        <v>112</v>
      </c>
      <c r="F212" s="292">
        <f>8</f>
        <v>8</v>
      </c>
      <c r="G212" s="167">
        <v>21.76</v>
      </c>
      <c r="H212" s="168">
        <f t="shared" ref="H212:H213" si="39">G212*F212</f>
        <v>174.08</v>
      </c>
      <c r="I212" s="327"/>
    </row>
    <row r="213" spans="1:9" s="30" customFormat="1" x14ac:dyDescent="0.25">
      <c r="A213" s="100"/>
      <c r="B213" s="291">
        <v>34794</v>
      </c>
      <c r="C213" s="33" t="s">
        <v>19</v>
      </c>
      <c r="D213" s="33" t="s">
        <v>579</v>
      </c>
      <c r="E213" s="33" t="s">
        <v>112</v>
      </c>
      <c r="F213" s="292">
        <f>8</f>
        <v>8</v>
      </c>
      <c r="G213" s="167">
        <v>23.07</v>
      </c>
      <c r="H213" s="168">
        <f t="shared" si="39"/>
        <v>184.56</v>
      </c>
      <c r="I213" s="327"/>
    </row>
    <row r="214" spans="1:9" s="30" customFormat="1" x14ac:dyDescent="0.25">
      <c r="A214" s="100"/>
      <c r="B214" s="33"/>
      <c r="C214" s="33"/>
      <c r="D214" s="33"/>
      <c r="E214" s="33"/>
      <c r="F214" s="292"/>
      <c r="G214" s="167"/>
      <c r="H214" s="168"/>
      <c r="I214" s="327"/>
    </row>
    <row r="215" spans="1:9" s="30" customFormat="1" ht="45" x14ac:dyDescent="0.25">
      <c r="A215" s="274" t="str">
        <f>Orçamento!A177</f>
        <v>11.12</v>
      </c>
      <c r="B215" s="288" t="str">
        <f>Orçamento!B177</f>
        <v xml:space="preserve"> TJMMG-CP-23</v>
      </c>
      <c r="C215" s="289" t="str">
        <f>Orçamento!C177</f>
        <v>PRÓPRIO</v>
      </c>
      <c r="D215" s="289" t="str">
        <f>Orçamento!D177</f>
        <v>REMOÇÃO DE CONJUNTO DO TIPO SPLIT PISO TETO DO 4º PAVIMENTO E REINSTALAÇÃO DO EQUIPAMENTO NA SALA PROTOCOLO - TÉRREO (INCLUSO TUBULAÇÃO DE COBRE E DRENO)</v>
      </c>
      <c r="E215" s="289" t="str">
        <f>Orçamento!E177</f>
        <v>UN</v>
      </c>
      <c r="F215" s="290">
        <v>1</v>
      </c>
      <c r="G215" s="165">
        <f ca="1">SUM(H216:H226)</f>
        <v>1673.8600000000001</v>
      </c>
      <c r="H215" s="166">
        <f ca="1">G215*F215</f>
        <v>1673.8600000000001</v>
      </c>
      <c r="I215" s="327"/>
    </row>
    <row r="216" spans="1:9" ht="30" x14ac:dyDescent="0.25">
      <c r="A216" s="174"/>
      <c r="B216" s="175">
        <v>1570</v>
      </c>
      <c r="C216" s="175" t="s">
        <v>19</v>
      </c>
      <c r="D216" s="277" t="s">
        <v>593</v>
      </c>
      <c r="E216" s="175" t="s">
        <v>573</v>
      </c>
      <c r="F216" s="278">
        <f>10</f>
        <v>10</v>
      </c>
      <c r="G216" s="179">
        <v>1.35</v>
      </c>
      <c r="H216" s="216">
        <f t="shared" ref="H216" si="40">G216*F216</f>
        <v>13.5</v>
      </c>
    </row>
    <row r="217" spans="1:9" x14ac:dyDescent="0.25">
      <c r="A217" s="174"/>
      <c r="B217" s="276" t="s">
        <v>586</v>
      </c>
      <c r="C217" s="175" t="s">
        <v>19</v>
      </c>
      <c r="D217" s="277" t="s">
        <v>589</v>
      </c>
      <c r="E217" s="175" t="s">
        <v>573</v>
      </c>
      <c r="F217" s="278">
        <f>10</f>
        <v>10</v>
      </c>
      <c r="G217" s="179">
        <v>1.55</v>
      </c>
      <c r="H217" s="216">
        <f>G217*F217</f>
        <v>15.5</v>
      </c>
    </row>
    <row r="218" spans="1:9" ht="30" x14ac:dyDescent="0.25">
      <c r="A218" s="174"/>
      <c r="B218" s="175">
        <v>13246</v>
      </c>
      <c r="C218" s="175" t="s">
        <v>19</v>
      </c>
      <c r="D218" s="277" t="s">
        <v>590</v>
      </c>
      <c r="E218" s="175" t="s">
        <v>573</v>
      </c>
      <c r="F218" s="278">
        <v>4</v>
      </c>
      <c r="G218" s="179">
        <v>0.57999999999999996</v>
      </c>
      <c r="H218" s="216">
        <f t="shared" ref="H218:H226" si="41">G218*F218</f>
        <v>2.3199999999999998</v>
      </c>
    </row>
    <row r="219" spans="1:9" ht="30" x14ac:dyDescent="0.25">
      <c r="A219" s="174"/>
      <c r="B219" s="175">
        <v>13348</v>
      </c>
      <c r="C219" s="175" t="s">
        <v>19</v>
      </c>
      <c r="D219" s="277" t="s">
        <v>594</v>
      </c>
      <c r="E219" s="175" t="s">
        <v>573</v>
      </c>
      <c r="F219" s="278">
        <v>4</v>
      </c>
      <c r="G219" s="179">
        <v>1.79</v>
      </c>
      <c r="H219" s="216">
        <f t="shared" si="41"/>
        <v>7.16</v>
      </c>
    </row>
    <row r="220" spans="1:9" x14ac:dyDescent="0.25">
      <c r="A220" s="174"/>
      <c r="B220" s="276" t="str">
        <f>'COT.'!$A$188</f>
        <v>COT-32</v>
      </c>
      <c r="C220" s="175" t="s">
        <v>23</v>
      </c>
      <c r="D220" s="277" t="str">
        <f>'COT.'!$B$188</f>
        <v>CALÇOS DE BORRACHA NEOPRENE</v>
      </c>
      <c r="E220" s="175" t="s">
        <v>573</v>
      </c>
      <c r="F220" s="278">
        <v>4</v>
      </c>
      <c r="G220" s="179">
        <f ca="1">'COT.'!$E$188</f>
        <v>29.83</v>
      </c>
      <c r="H220" s="216">
        <f t="shared" ca="1" si="41"/>
        <v>119.32</v>
      </c>
    </row>
    <row r="221" spans="1:9" x14ac:dyDescent="0.25">
      <c r="A221" s="174"/>
      <c r="B221" s="276" t="s">
        <v>595</v>
      </c>
      <c r="C221" s="175" t="s">
        <v>19</v>
      </c>
      <c r="D221" s="277" t="s">
        <v>596</v>
      </c>
      <c r="E221" s="175" t="s">
        <v>573</v>
      </c>
      <c r="F221" s="278">
        <f>8</f>
        <v>8</v>
      </c>
      <c r="G221" s="179">
        <v>0.39</v>
      </c>
      <c r="H221" s="216">
        <f t="shared" si="41"/>
        <v>3.12</v>
      </c>
    </row>
    <row r="222" spans="1:9" x14ac:dyDescent="0.25">
      <c r="A222" s="174"/>
      <c r="B222" s="175">
        <v>88243</v>
      </c>
      <c r="C222" s="175" t="s">
        <v>19</v>
      </c>
      <c r="D222" s="175" t="s">
        <v>592</v>
      </c>
      <c r="E222" s="175" t="s">
        <v>112</v>
      </c>
      <c r="F222" s="278">
        <v>16</v>
      </c>
      <c r="G222" s="179">
        <v>21.76</v>
      </c>
      <c r="H222" s="216">
        <f t="shared" si="41"/>
        <v>348.16</v>
      </c>
    </row>
    <row r="223" spans="1:9" x14ac:dyDescent="0.25">
      <c r="A223" s="174"/>
      <c r="B223" s="175">
        <v>34794</v>
      </c>
      <c r="C223" s="175" t="s">
        <v>19</v>
      </c>
      <c r="D223" s="175" t="s">
        <v>579</v>
      </c>
      <c r="E223" s="175" t="s">
        <v>112</v>
      </c>
      <c r="F223" s="278">
        <v>16</v>
      </c>
      <c r="G223" s="179">
        <v>23.07</v>
      </c>
      <c r="H223" s="216">
        <f t="shared" si="41"/>
        <v>369.12</v>
      </c>
    </row>
    <row r="224" spans="1:9" s="30" customFormat="1" ht="45" x14ac:dyDescent="0.25">
      <c r="A224" s="100"/>
      <c r="B224" s="175">
        <v>97331</v>
      </c>
      <c r="C224" s="175" t="s">
        <v>19</v>
      </c>
      <c r="D224" s="277" t="s">
        <v>574</v>
      </c>
      <c r="E224" s="175" t="s">
        <v>156</v>
      </c>
      <c r="F224" s="278">
        <v>6</v>
      </c>
      <c r="G224" s="179">
        <v>26.82</v>
      </c>
      <c r="H224" s="216">
        <f t="shared" ref="H224:H225" si="42">G224*F224</f>
        <v>160.92000000000002</v>
      </c>
      <c r="I224" s="327"/>
    </row>
    <row r="225" spans="1:9" s="30" customFormat="1" ht="45" x14ac:dyDescent="0.25">
      <c r="A225" s="100"/>
      <c r="B225" s="175">
        <v>97333</v>
      </c>
      <c r="C225" s="175" t="s">
        <v>19</v>
      </c>
      <c r="D225" s="277" t="s">
        <v>774</v>
      </c>
      <c r="E225" s="175" t="s">
        <v>156</v>
      </c>
      <c r="F225" s="278">
        <v>6</v>
      </c>
      <c r="G225" s="179">
        <v>60.17</v>
      </c>
      <c r="H225" s="216">
        <f t="shared" si="42"/>
        <v>361.02</v>
      </c>
      <c r="I225" s="327"/>
    </row>
    <row r="226" spans="1:9" s="30" customFormat="1" ht="45" x14ac:dyDescent="0.25">
      <c r="A226" s="100"/>
      <c r="B226" s="175">
        <v>91784</v>
      </c>
      <c r="C226" s="175" t="s">
        <v>19</v>
      </c>
      <c r="D226" s="277" t="s">
        <v>775</v>
      </c>
      <c r="E226" s="175" t="s">
        <v>156</v>
      </c>
      <c r="F226" s="278">
        <v>6</v>
      </c>
      <c r="G226" s="179">
        <v>45.62</v>
      </c>
      <c r="H226" s="216">
        <f t="shared" si="41"/>
        <v>273.71999999999997</v>
      </c>
      <c r="I226" s="327"/>
    </row>
    <row r="227" spans="1:9" x14ac:dyDescent="0.25">
      <c r="A227" s="182" t="str">
        <f>Orçamento!A$178</f>
        <v>11.13</v>
      </c>
      <c r="B227" s="287" t="str">
        <f>Orçamento!B$178</f>
        <v xml:space="preserve"> TJMMG-CP-24</v>
      </c>
      <c r="C227" s="283" t="str">
        <f>Orçamento!C$178</f>
        <v>PRÓPRIO</v>
      </c>
      <c r="D227" s="283" t="s">
        <v>597</v>
      </c>
      <c r="E227" s="283" t="str">
        <f>Orçamento!E$178</f>
        <v>UN</v>
      </c>
      <c r="F227" s="284">
        <v>1</v>
      </c>
      <c r="G227" s="180">
        <f>SUM(H228:H229)</f>
        <v>112.075</v>
      </c>
      <c r="H227" s="181">
        <f>G227*F227</f>
        <v>112.075</v>
      </c>
    </row>
    <row r="228" spans="1:9" x14ac:dyDescent="0.25">
      <c r="A228" s="174"/>
      <c r="B228" s="175">
        <v>88243</v>
      </c>
      <c r="C228" s="175" t="s">
        <v>19</v>
      </c>
      <c r="D228" s="175" t="s">
        <v>592</v>
      </c>
      <c r="E228" s="175" t="s">
        <v>112</v>
      </c>
      <c r="F228" s="278">
        <f>2.5</f>
        <v>2.5</v>
      </c>
      <c r="G228" s="176">
        <v>21.76</v>
      </c>
      <c r="H228" s="177">
        <f t="shared" ref="H228:H229" si="43">G228*F228</f>
        <v>54.400000000000006</v>
      </c>
    </row>
    <row r="229" spans="1:9" x14ac:dyDescent="0.25">
      <c r="A229" s="174"/>
      <c r="B229" s="175">
        <v>34794</v>
      </c>
      <c r="C229" s="175" t="s">
        <v>19</v>
      </c>
      <c r="D229" s="175" t="s">
        <v>579</v>
      </c>
      <c r="E229" s="175" t="s">
        <v>112</v>
      </c>
      <c r="F229" s="278">
        <v>2.5</v>
      </c>
      <c r="G229" s="176">
        <v>23.07</v>
      </c>
      <c r="H229" s="177">
        <f t="shared" si="43"/>
        <v>57.674999999999997</v>
      </c>
    </row>
    <row r="230" spans="1:9" x14ac:dyDescent="0.25">
      <c r="A230" s="174"/>
      <c r="B230" s="175"/>
      <c r="C230" s="175"/>
      <c r="D230" s="175"/>
      <c r="E230" s="175"/>
      <c r="F230" s="278"/>
      <c r="G230" s="176"/>
      <c r="H230" s="177"/>
    </row>
    <row r="231" spans="1:9" x14ac:dyDescent="0.25">
      <c r="A231" s="173" t="str">
        <f>Orçamento!A$179</f>
        <v>11.14</v>
      </c>
      <c r="B231" s="286" t="str">
        <f>Orçamento!B$179</f>
        <v xml:space="preserve"> TJMMG-CP-25</v>
      </c>
      <c r="C231" s="282" t="str">
        <f>Orçamento!C$179</f>
        <v>PRÓPRIO</v>
      </c>
      <c r="D231" s="283" t="s">
        <v>599</v>
      </c>
      <c r="E231" s="282" t="str">
        <f>Orçamento!E$179</f>
        <v>UN</v>
      </c>
      <c r="F231" s="284">
        <v>1</v>
      </c>
      <c r="G231" s="180">
        <f>SUM(H232:H234)</f>
        <v>126.31</v>
      </c>
      <c r="H231" s="181">
        <f>G231*F231</f>
        <v>126.31</v>
      </c>
    </row>
    <row r="232" spans="1:9" x14ac:dyDescent="0.25">
      <c r="A232" s="174"/>
      <c r="B232" s="175">
        <v>88243</v>
      </c>
      <c r="C232" s="175" t="s">
        <v>19</v>
      </c>
      <c r="D232" s="175" t="s">
        <v>592</v>
      </c>
      <c r="E232" s="175" t="s">
        <v>112</v>
      </c>
      <c r="F232" s="278">
        <v>2</v>
      </c>
      <c r="G232" s="176">
        <v>21.76</v>
      </c>
      <c r="H232" s="177">
        <f t="shared" ref="H232:H234" si="44">G232*F232</f>
        <v>43.52</v>
      </c>
    </row>
    <row r="233" spans="1:9" x14ac:dyDescent="0.25">
      <c r="A233" s="174"/>
      <c r="B233" s="175">
        <v>34794</v>
      </c>
      <c r="C233" s="175" t="s">
        <v>19</v>
      </c>
      <c r="D233" s="175" t="s">
        <v>579</v>
      </c>
      <c r="E233" s="175" t="s">
        <v>112</v>
      </c>
      <c r="F233" s="278">
        <v>2</v>
      </c>
      <c r="G233" s="176">
        <v>23.07</v>
      </c>
      <c r="H233" s="177">
        <f t="shared" si="44"/>
        <v>46.14</v>
      </c>
    </row>
    <row r="234" spans="1:9" ht="30" x14ac:dyDescent="0.25">
      <c r="A234" s="174"/>
      <c r="B234" s="175">
        <v>91997</v>
      </c>
      <c r="C234" s="175" t="s">
        <v>19</v>
      </c>
      <c r="D234" s="277" t="s">
        <v>430</v>
      </c>
      <c r="E234" s="175" t="s">
        <v>164</v>
      </c>
      <c r="F234" s="278">
        <v>1</v>
      </c>
      <c r="G234" s="179">
        <v>36.65</v>
      </c>
      <c r="H234" s="177">
        <f t="shared" si="44"/>
        <v>36.65</v>
      </c>
      <c r="I234" s="326"/>
    </row>
    <row r="235" spans="1:9" x14ac:dyDescent="0.25">
      <c r="A235" s="235"/>
      <c r="F235" s="293"/>
      <c r="G235" s="236"/>
      <c r="H235" s="237"/>
    </row>
    <row r="236" spans="1:9" x14ac:dyDescent="0.25">
      <c r="A236" s="173" t="str">
        <f>Orçamento!A180</f>
        <v>11.15</v>
      </c>
      <c r="B236" s="286" t="str">
        <f>Orçamento!B180</f>
        <v>11509 ADP.</v>
      </c>
      <c r="C236" s="282" t="str">
        <f>Orçamento!C180</f>
        <v>ORSE</v>
      </c>
      <c r="D236" s="283" t="str">
        <f>Orçamento!D180</f>
        <v>GÁS R410 A - FORNECIMENTO E INSTALAÇÃO</v>
      </c>
      <c r="E236" s="282" t="str">
        <f>Orçamento!E180</f>
        <v>KG</v>
      </c>
      <c r="F236" s="284">
        <v>1</v>
      </c>
      <c r="G236" s="180">
        <f>SUM(H237:H238)</f>
        <v>52.4925</v>
      </c>
      <c r="H236" s="181">
        <f>G236*F236</f>
        <v>52.4925</v>
      </c>
    </row>
    <row r="237" spans="1:9" x14ac:dyDescent="0.25">
      <c r="A237" s="174"/>
      <c r="B237" s="175">
        <v>34794</v>
      </c>
      <c r="C237" s="175" t="s">
        <v>19</v>
      </c>
      <c r="D237" s="175" t="s">
        <v>579</v>
      </c>
      <c r="E237" s="175" t="s">
        <v>112</v>
      </c>
      <c r="F237" s="278">
        <v>0.25</v>
      </c>
      <c r="G237" s="176">
        <v>23.07</v>
      </c>
      <c r="H237" s="177">
        <f t="shared" ref="H237:H238" si="45">G237*F237</f>
        <v>5.7675000000000001</v>
      </c>
      <c r="I237" s="326"/>
    </row>
    <row r="238" spans="1:9" x14ac:dyDescent="0.25">
      <c r="A238" s="174"/>
      <c r="B238" s="175">
        <v>8151</v>
      </c>
      <c r="C238" s="175" t="s">
        <v>153</v>
      </c>
      <c r="D238" s="175" t="s">
        <v>601</v>
      </c>
      <c r="E238" s="175" t="s">
        <v>104</v>
      </c>
      <c r="F238" s="278">
        <v>1.05</v>
      </c>
      <c r="G238" s="176">
        <v>44.5</v>
      </c>
      <c r="H238" s="177">
        <f t="shared" si="45"/>
        <v>46.725000000000001</v>
      </c>
    </row>
    <row r="239" spans="1:9" x14ac:dyDescent="0.25">
      <c r="A239" s="174"/>
      <c r="B239" s="175"/>
      <c r="C239" s="175"/>
      <c r="D239" s="175"/>
      <c r="E239" s="175"/>
      <c r="F239" s="278"/>
      <c r="G239" s="176"/>
      <c r="H239" s="177"/>
    </row>
    <row r="240" spans="1:9" x14ac:dyDescent="0.25">
      <c r="A240" s="173" t="str">
        <f>Orçamento!$A$183</f>
        <v>12.1</v>
      </c>
      <c r="B240" s="282" t="str">
        <f>Orçamento!$B$183</f>
        <v>TJMMG-CP-26</v>
      </c>
      <c r="C240" s="282" t="str">
        <f>Orçamento!$C$183</f>
        <v>PRÓPRIO</v>
      </c>
      <c r="D240" s="283" t="s">
        <v>687</v>
      </c>
      <c r="E240" s="282" t="str">
        <f>Orçamento!$E$183</f>
        <v xml:space="preserve">UN </v>
      </c>
      <c r="F240" s="284">
        <v>1</v>
      </c>
      <c r="G240" s="180">
        <f>SUM(H241:H243)</f>
        <v>408.49</v>
      </c>
      <c r="H240" s="181">
        <f>G240*F240</f>
        <v>408.49</v>
      </c>
    </row>
    <row r="241" spans="1:9" x14ac:dyDescent="0.25">
      <c r="A241" s="174"/>
      <c r="B241" s="276" t="s">
        <v>392</v>
      </c>
      <c r="C241" s="175" t="s">
        <v>19</v>
      </c>
      <c r="D241" s="277" t="s">
        <v>391</v>
      </c>
      <c r="E241" s="175" t="s">
        <v>24</v>
      </c>
      <c r="F241" s="278">
        <v>8</v>
      </c>
      <c r="G241" s="176">
        <v>21.98</v>
      </c>
      <c r="H241" s="177">
        <f t="shared" ref="H241:H243" si="46">G241*F241</f>
        <v>175.84</v>
      </c>
    </row>
    <row r="242" spans="1:9" x14ac:dyDescent="0.25">
      <c r="A242" s="174"/>
      <c r="B242" s="175">
        <v>88316</v>
      </c>
      <c r="C242" s="175" t="s">
        <v>19</v>
      </c>
      <c r="D242" s="175" t="s">
        <v>84</v>
      </c>
      <c r="E242" s="175" t="s">
        <v>24</v>
      </c>
      <c r="F242" s="278">
        <v>4</v>
      </c>
      <c r="G242" s="176">
        <v>19.760000000000002</v>
      </c>
      <c r="H242" s="177">
        <f t="shared" si="46"/>
        <v>79.040000000000006</v>
      </c>
    </row>
    <row r="243" spans="1:9" ht="60" x14ac:dyDescent="0.25">
      <c r="A243" s="174"/>
      <c r="B243" s="175">
        <v>3104</v>
      </c>
      <c r="C243" s="175" t="s">
        <v>19</v>
      </c>
      <c r="D243" s="277" t="s">
        <v>393</v>
      </c>
      <c r="E243" s="175" t="s">
        <v>386</v>
      </c>
      <c r="F243" s="278">
        <v>1</v>
      </c>
      <c r="G243" s="176">
        <v>153.61000000000001</v>
      </c>
      <c r="H243" s="177">
        <f t="shared" si="46"/>
        <v>153.61000000000001</v>
      </c>
    </row>
    <row r="244" spans="1:9" ht="14.25" customHeight="1" x14ac:dyDescent="0.25">
      <c r="A244" s="174"/>
      <c r="B244" s="175"/>
      <c r="C244" s="276"/>
      <c r="D244" s="175"/>
      <c r="E244" s="175"/>
      <c r="F244" s="278"/>
      <c r="G244" s="176"/>
      <c r="H244" s="177"/>
    </row>
    <row r="245" spans="1:9" x14ac:dyDescent="0.25">
      <c r="A245" s="173" t="str">
        <f>Orçamento!A200</f>
        <v>15.1</v>
      </c>
      <c r="B245" s="282" t="str">
        <f>Orçamento!B200</f>
        <v>TJMMG-CP-27</v>
      </c>
      <c r="C245" s="282" t="str">
        <f>Orçamento!C200</f>
        <v>PRÓPRIO</v>
      </c>
      <c r="D245" s="283" t="str">
        <f>Orçamento!D200</f>
        <v>REPOSICIONAR MOBILIÁRIO CONFORME NOVO LAYOUT</v>
      </c>
      <c r="E245" s="282" t="str">
        <f>Orçamento!E200</f>
        <v>UN</v>
      </c>
      <c r="F245" s="284">
        <v>1</v>
      </c>
      <c r="G245" s="180">
        <f>H246</f>
        <v>39.520000000000003</v>
      </c>
      <c r="H245" s="181">
        <f>G245*F245</f>
        <v>39.520000000000003</v>
      </c>
    </row>
    <row r="246" spans="1:9" x14ac:dyDescent="0.25">
      <c r="A246" s="174"/>
      <c r="B246" s="276" t="s">
        <v>292</v>
      </c>
      <c r="C246" s="175" t="s">
        <v>19</v>
      </c>
      <c r="D246" s="277" t="s">
        <v>84</v>
      </c>
      <c r="E246" s="175" t="s">
        <v>112</v>
      </c>
      <c r="F246" s="278">
        <v>2</v>
      </c>
      <c r="G246" s="176">
        <v>19.760000000000002</v>
      </c>
      <c r="H246" s="177">
        <f>G246*F246</f>
        <v>39.520000000000003</v>
      </c>
    </row>
    <row r="247" spans="1:9" s="183" customFormat="1" x14ac:dyDescent="0.25">
      <c r="A247" s="174"/>
      <c r="B247" s="175"/>
      <c r="C247" s="175"/>
      <c r="D247" s="175"/>
      <c r="E247" s="175"/>
      <c r="F247" s="278"/>
      <c r="G247" s="176"/>
      <c r="H247" s="177"/>
      <c r="I247" s="178"/>
    </row>
    <row r="248" spans="1:9" ht="30" x14ac:dyDescent="0.25">
      <c r="A248" s="173" t="str">
        <f>Orçamento!A201</f>
        <v>15.2</v>
      </c>
      <c r="B248" s="282" t="str">
        <f>Orçamento!B201</f>
        <v>TJMMG-CP-28</v>
      </c>
      <c r="C248" s="282" t="str">
        <f>Orçamento!C201</f>
        <v>PRÓPRIO</v>
      </c>
      <c r="D248" s="283" t="str">
        <f>Orçamento!D201</f>
        <v>REMANEJAMENTO DE MOBILIÁRIOS PARA TROCA DE PISO (VOLTAR PARA POSIÇÃO INICIAL)</v>
      </c>
      <c r="E248" s="282" t="str">
        <f>Orçamento!E201</f>
        <v>UN</v>
      </c>
      <c r="F248" s="284">
        <v>1</v>
      </c>
      <c r="G248" s="180">
        <f>H249</f>
        <v>39.520000000000003</v>
      </c>
      <c r="H248" s="181">
        <f>G248*F248</f>
        <v>39.520000000000003</v>
      </c>
    </row>
    <row r="249" spans="1:9" x14ac:dyDescent="0.25">
      <c r="A249" s="174"/>
      <c r="B249" s="276" t="s">
        <v>292</v>
      </c>
      <c r="C249" s="175" t="s">
        <v>19</v>
      </c>
      <c r="D249" s="277" t="s">
        <v>84</v>
      </c>
      <c r="E249" s="175" t="s">
        <v>112</v>
      </c>
      <c r="F249" s="278">
        <v>2</v>
      </c>
      <c r="G249" s="176">
        <v>19.760000000000002</v>
      </c>
      <c r="H249" s="177">
        <f>G249*F249</f>
        <v>39.520000000000003</v>
      </c>
    </row>
    <row r="250" spans="1:9" s="183" customFormat="1" x14ac:dyDescent="0.25">
      <c r="A250" s="174"/>
      <c r="B250" s="175"/>
      <c r="C250" s="175"/>
      <c r="D250" s="175"/>
      <c r="E250" s="175"/>
      <c r="F250" s="278"/>
      <c r="G250" s="176"/>
      <c r="H250" s="177"/>
      <c r="I250" s="178"/>
    </row>
    <row r="251" spans="1:9" x14ac:dyDescent="0.25">
      <c r="A251" s="173" t="str">
        <f>Orçamento!A$208</f>
        <v>17.1</v>
      </c>
      <c r="B251" s="282" t="str">
        <f>Orçamento!B$208</f>
        <v>TJMMG-CP-29</v>
      </c>
      <c r="C251" s="282" t="str">
        <f>Orçamento!C$208</f>
        <v>PRÓPRIO</v>
      </c>
      <c r="D251" s="283" t="s">
        <v>43</v>
      </c>
      <c r="E251" s="282" t="str">
        <f>'[5]Orçamento '!$E$273</f>
        <v>m²</v>
      </c>
      <c r="F251" s="284">
        <v>1</v>
      </c>
      <c r="G251" s="180">
        <f ca="1">SUM(H252:H254)</f>
        <v>5.1683310000000002</v>
      </c>
      <c r="H251" s="181">
        <f ca="1">G251*F251</f>
        <v>5.1683310000000002</v>
      </c>
    </row>
    <row r="252" spans="1:9" x14ac:dyDescent="0.25">
      <c r="A252" s="174"/>
      <c r="B252" s="276" t="str">
        <f>'COT.'!$A$98</f>
        <v>COT-17</v>
      </c>
      <c r="C252" s="175" t="s">
        <v>23</v>
      </c>
      <c r="D252" s="175" t="s">
        <v>394</v>
      </c>
      <c r="E252" s="175" t="s">
        <v>42</v>
      </c>
      <c r="F252" s="278">
        <v>7.6899999999999998E-3</v>
      </c>
      <c r="G252" s="176">
        <f ca="1">'COT.'!$E$98</f>
        <v>189.9</v>
      </c>
      <c r="H252" s="177">
        <f t="shared" ref="H252:H254" ca="1" si="47">G252*F252</f>
        <v>1.460331</v>
      </c>
    </row>
    <row r="253" spans="1:9" x14ac:dyDescent="0.25">
      <c r="A253" s="174"/>
      <c r="B253" s="175">
        <v>88316</v>
      </c>
      <c r="C253" s="175" t="s">
        <v>19</v>
      </c>
      <c r="D253" s="175" t="s">
        <v>22</v>
      </c>
      <c r="E253" s="175" t="s">
        <v>24</v>
      </c>
      <c r="F253" s="278">
        <f>(3/60)</f>
        <v>0.05</v>
      </c>
      <c r="G253" s="176">
        <v>19.760000000000002</v>
      </c>
      <c r="H253" s="177">
        <f t="shared" si="47"/>
        <v>0.9880000000000001</v>
      </c>
      <c r="I253" s="326"/>
    </row>
    <row r="254" spans="1:9" x14ac:dyDescent="0.25">
      <c r="A254" s="174"/>
      <c r="B254" s="175">
        <v>100718</v>
      </c>
      <c r="C254" s="175" t="s">
        <v>19</v>
      </c>
      <c r="D254" s="175" t="s">
        <v>395</v>
      </c>
      <c r="E254" s="175" t="s">
        <v>156</v>
      </c>
      <c r="F254" s="278">
        <v>2</v>
      </c>
      <c r="G254" s="176">
        <v>1.36</v>
      </c>
      <c r="H254" s="177">
        <f t="shared" si="47"/>
        <v>2.72</v>
      </c>
    </row>
    <row r="255" spans="1:9" x14ac:dyDescent="0.25">
      <c r="A255" s="174"/>
      <c r="B255" s="175"/>
      <c r="C255" s="276"/>
      <c r="D255" s="175"/>
      <c r="E255" s="175"/>
      <c r="F255" s="278"/>
      <c r="G255" s="176"/>
      <c r="H255" s="177"/>
    </row>
    <row r="256" spans="1:9" ht="15.75" thickBot="1" x14ac:dyDescent="0.3">
      <c r="A256" s="240"/>
      <c r="B256" s="241"/>
      <c r="C256" s="241"/>
      <c r="D256" s="242"/>
      <c r="E256" s="241"/>
      <c r="F256" s="241"/>
      <c r="G256" s="243"/>
      <c r="H256" s="244"/>
    </row>
    <row r="258" spans="2:2" x14ac:dyDescent="0.25">
      <c r="B258" s="239"/>
    </row>
  </sheetData>
  <mergeCells count="2">
    <mergeCell ref="A1:H1"/>
    <mergeCell ref="A11:H11"/>
  </mergeCells>
  <phoneticPr fontId="19" type="noConversion"/>
  <conditionalFormatting sqref="B4">
    <cfRule type="expression" dxfId="36" priority="1">
      <formula>B4=""</formula>
    </cfRule>
  </conditionalFormatting>
  <pageMargins left="0.511811024" right="0.511811024" top="0.78740157499999996" bottom="0.78740157499999996" header="0.31496062000000002" footer="0.31496062000000002"/>
  <pageSetup paperSize="9" scale="45" orientation="portrait" r:id="rId1"/>
  <rowBreaks count="2" manualBreakCount="2">
    <brk id="83" max="7" man="1"/>
    <brk id="154" max="7" man="1"/>
  </rowBreaks>
  <colBreaks count="1" manualBreakCount="1">
    <brk id="8" max="1048575" man="1"/>
  </colBreaks>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EFBDB0-91D6-4081-B750-C0F088DF93B8}">
  <dimension ref="A1:G193"/>
  <sheetViews>
    <sheetView zoomScaleNormal="100" workbookViewId="0">
      <selection activeCell="E4" sqref="E4"/>
    </sheetView>
  </sheetViews>
  <sheetFormatPr defaultColWidth="9.140625" defaultRowHeight="15" x14ac:dyDescent="0.25"/>
  <cols>
    <col min="1" max="1" width="14.85546875" style="183" customWidth="1"/>
    <col min="2" max="2" width="88.5703125" style="183" customWidth="1"/>
    <col min="3" max="3" width="17.140625" style="183" customWidth="1"/>
    <col min="4" max="4" width="21.140625" style="183" customWidth="1"/>
    <col min="5" max="5" width="18.5703125" style="183" customWidth="1"/>
    <col min="6" max="7" width="12.85546875" style="183" bestFit="1" customWidth="1"/>
    <col min="8" max="16384" width="9.140625" style="183"/>
  </cols>
  <sheetData>
    <row r="1" spans="1:5" ht="65.25" customHeight="1" thickBot="1" x14ac:dyDescent="0.3">
      <c r="A1" s="488" t="s">
        <v>116</v>
      </c>
      <c r="B1" s="489"/>
      <c r="C1" s="489"/>
      <c r="D1" s="489"/>
      <c r="E1" s="490"/>
    </row>
    <row r="2" spans="1:5" ht="15.75" x14ac:dyDescent="0.25">
      <c r="A2" s="331" t="s">
        <v>117</v>
      </c>
      <c r="B2" s="332" t="s">
        <v>118</v>
      </c>
      <c r="C2" s="333"/>
      <c r="D2" s="334"/>
      <c r="E2" s="335" t="s">
        <v>796</v>
      </c>
    </row>
    <row r="3" spans="1:5" x14ac:dyDescent="0.25">
      <c r="A3" s="336" t="s">
        <v>120</v>
      </c>
      <c r="B3" s="337" t="s">
        <v>121</v>
      </c>
      <c r="C3" s="338"/>
      <c r="D3" s="339"/>
      <c r="E3" s="340" t="str">
        <f>Resumo!D3</f>
        <v>REV_03</v>
      </c>
    </row>
    <row r="4" spans="1:5" ht="15.75" thickBot="1" x14ac:dyDescent="0.3">
      <c r="A4" s="341" t="s">
        <v>122</v>
      </c>
      <c r="B4" s="342" t="s">
        <v>635</v>
      </c>
      <c r="C4" s="343"/>
      <c r="D4" s="344" t="s">
        <v>123</v>
      </c>
      <c r="E4" s="345" t="s">
        <v>119</v>
      </c>
    </row>
    <row r="5" spans="1:5" ht="8.25" customHeight="1" thickBot="1" x14ac:dyDescent="0.3">
      <c r="A5" s="346"/>
      <c r="B5" s="347"/>
      <c r="C5" s="347"/>
      <c r="D5" s="347"/>
      <c r="E5" s="348"/>
    </row>
    <row r="6" spans="1:5" ht="15.75" thickBot="1" x14ac:dyDescent="0.3">
      <c r="A6" s="328" t="s">
        <v>23</v>
      </c>
      <c r="B6" s="349" t="s">
        <v>124</v>
      </c>
      <c r="C6" s="329" t="s">
        <v>125</v>
      </c>
      <c r="D6" s="347"/>
      <c r="E6" s="330" t="s">
        <v>126</v>
      </c>
    </row>
    <row r="7" spans="1:5" ht="15.75" thickBot="1" x14ac:dyDescent="0.3">
      <c r="A7" s="346"/>
      <c r="B7" s="347"/>
      <c r="C7" s="347"/>
      <c r="D7" s="347"/>
      <c r="E7" s="348"/>
    </row>
    <row r="8" spans="1:5" s="221" customFormat="1" ht="16.5" thickBot="1" x14ac:dyDescent="0.3">
      <c r="A8" s="194" t="s">
        <v>127</v>
      </c>
      <c r="B8" s="195" t="s">
        <v>144</v>
      </c>
      <c r="C8" s="196" t="s">
        <v>114</v>
      </c>
      <c r="D8" s="197"/>
      <c r="E8" s="198">
        <f ca="1">IFERROR(IF($E$4="MÉDIA",AVERAGE(OFFSET(E8,1,0,):OFFSET(E12,-1,0,)),IF($E$4="MEDIANA",MEDIAN(OFFSET(E8,1,0,):OFFSET(E12,-1,0,)),0)),0)</f>
        <v>27.391203703703702</v>
      </c>
    </row>
    <row r="9" spans="1:5" s="221" customFormat="1" x14ac:dyDescent="0.25">
      <c r="A9" s="199">
        <f ca="1">IFERROR(OFFSET(A9,-1,0)+1,1)</f>
        <v>1</v>
      </c>
      <c r="B9" s="200" t="s">
        <v>145</v>
      </c>
      <c r="C9" s="201" t="s">
        <v>114</v>
      </c>
      <c r="D9" s="202" t="s">
        <v>129</v>
      </c>
      <c r="E9" s="171">
        <f>119.3/(1.2*0.6*6)</f>
        <v>27.615740740740737</v>
      </c>
    </row>
    <row r="10" spans="1:5" s="221" customFormat="1" x14ac:dyDescent="0.25">
      <c r="A10" s="199">
        <f ca="1">IFERROR(OFFSET(A10,-1,0)+1,1)</f>
        <v>2</v>
      </c>
      <c r="B10" s="279" t="s">
        <v>146</v>
      </c>
      <c r="C10" s="280" t="s">
        <v>114</v>
      </c>
      <c r="D10" s="281" t="s">
        <v>129</v>
      </c>
      <c r="E10" s="172">
        <f>118.33/4.32</f>
        <v>27.391203703703702</v>
      </c>
    </row>
    <row r="11" spans="1:5" s="221" customFormat="1" ht="15.75" thickBot="1" x14ac:dyDescent="0.3">
      <c r="A11" s="199">
        <f ca="1">IFERROR(OFFSET(A11,-1,0)+1,1)</f>
        <v>3</v>
      </c>
      <c r="B11" s="279" t="s">
        <v>147</v>
      </c>
      <c r="C11" s="280" t="s">
        <v>114</v>
      </c>
      <c r="D11" s="281" t="s">
        <v>129</v>
      </c>
      <c r="E11" s="172">
        <f>170/(1.35*0.6*8)</f>
        <v>26.234567901234566</v>
      </c>
    </row>
    <row r="12" spans="1:5" s="221" customFormat="1" ht="15.75" thickBot="1" x14ac:dyDescent="0.3">
      <c r="A12" s="350" t="s">
        <v>130</v>
      </c>
      <c r="B12" s="351"/>
      <c r="C12" s="351"/>
      <c r="D12" s="351"/>
      <c r="E12" s="352"/>
    </row>
    <row r="13" spans="1:5" ht="15.75" thickBot="1" x14ac:dyDescent="0.3">
      <c r="A13" s="346"/>
      <c r="B13" s="347"/>
      <c r="C13" s="347"/>
      <c r="D13" s="347"/>
      <c r="E13" s="348"/>
    </row>
    <row r="14" spans="1:5" s="221" customFormat="1" ht="16.5" thickBot="1" x14ac:dyDescent="0.3">
      <c r="A14" s="194" t="s">
        <v>152</v>
      </c>
      <c r="B14" s="195" t="s">
        <v>290</v>
      </c>
      <c r="C14" s="196" t="s">
        <v>156</v>
      </c>
      <c r="D14" s="197"/>
      <c r="E14" s="198">
        <f ca="1">IFERROR(IF($E$4="MÉDIA",AVERAGE(OFFSET(E14,1,0,):OFFSET(E18,-1,0,)),IF($E$4="MEDIANA",MEDIAN(OFFSET(E14,1,0,):OFFSET(E18,-1,0,)),0)),0)</f>
        <v>2.2149999999999999</v>
      </c>
    </row>
    <row r="15" spans="1:5" s="221" customFormat="1" x14ac:dyDescent="0.25">
      <c r="A15" s="199">
        <f ca="1">IFERROR(OFFSET(A15,-1,0)+1,1)</f>
        <v>1</v>
      </c>
      <c r="B15" s="200" t="s">
        <v>351</v>
      </c>
      <c r="C15" s="201" t="s">
        <v>156</v>
      </c>
      <c r="D15" s="202" t="s">
        <v>129</v>
      </c>
      <c r="E15" s="171">
        <f>21.9/10</f>
        <v>2.19</v>
      </c>
    </row>
    <row r="16" spans="1:5" s="221" customFormat="1" x14ac:dyDescent="0.25">
      <c r="A16" s="199">
        <f ca="1">IFERROR(OFFSET(A16,-1,0)+1,1)</f>
        <v>2</v>
      </c>
      <c r="B16" s="279" t="s">
        <v>293</v>
      </c>
      <c r="C16" s="280" t="s">
        <v>156</v>
      </c>
      <c r="D16" s="281" t="s">
        <v>129</v>
      </c>
      <c r="E16" s="172">
        <f>22.15/10</f>
        <v>2.2149999999999999</v>
      </c>
    </row>
    <row r="17" spans="1:5" s="221" customFormat="1" ht="15.75" thickBot="1" x14ac:dyDescent="0.3">
      <c r="A17" s="199">
        <f ca="1">IFERROR(OFFSET(A17,-1,0)+1,1)</f>
        <v>3</v>
      </c>
      <c r="B17" s="279" t="s">
        <v>135</v>
      </c>
      <c r="C17" s="280" t="s">
        <v>156</v>
      </c>
      <c r="D17" s="281" t="s">
        <v>129</v>
      </c>
      <c r="E17" s="172">
        <f>42.9/10</f>
        <v>4.29</v>
      </c>
    </row>
    <row r="18" spans="1:5" s="221" customFormat="1" ht="15.75" thickBot="1" x14ac:dyDescent="0.3">
      <c r="A18" s="350" t="s">
        <v>130</v>
      </c>
      <c r="B18" s="351"/>
      <c r="C18" s="351"/>
      <c r="D18" s="351"/>
      <c r="E18" s="352"/>
    </row>
    <row r="19" spans="1:5" ht="15.75" thickBot="1" x14ac:dyDescent="0.3">
      <c r="A19" s="353"/>
      <c r="B19" s="354"/>
      <c r="C19" s="354"/>
      <c r="D19" s="354"/>
      <c r="E19" s="355"/>
    </row>
    <row r="20" spans="1:5" s="221" customFormat="1" ht="30.75" thickBot="1" x14ac:dyDescent="0.3">
      <c r="A20" s="194" t="s">
        <v>131</v>
      </c>
      <c r="B20" s="195" t="str">
        <f>Orçamento!$D$46</f>
        <v xml:space="preserve"> FORRO MINERAL REMOVÍVEL MODULAR (1250x625x15MM) THERMATEX ANTARIS. ESTRUTURA APARENTE SK. COR BRANCO. REF. KANUF</v>
      </c>
      <c r="C20" s="196" t="s">
        <v>114</v>
      </c>
      <c r="D20" s="197"/>
      <c r="E20" s="198">
        <f ca="1">IFERROR(IF($E$4="MÉDIA",AVERAGE(OFFSET(E20,1,0,):OFFSET(E24,-1,0,)),IF($E$4="MEDIANA",MEDIAN(OFFSET(E20,1,0,):OFFSET(E24,-1,0,)),0)),0)</f>
        <v>107.30601792573623</v>
      </c>
    </row>
    <row r="21" spans="1:5" s="221" customFormat="1" x14ac:dyDescent="0.25">
      <c r="A21" s="199">
        <f ca="1">IFERROR(OFFSET(A21,-1,0)+1,1)</f>
        <v>1</v>
      </c>
      <c r="B21" s="200" t="s">
        <v>358</v>
      </c>
      <c r="C21" s="201" t="s">
        <v>114</v>
      </c>
      <c r="D21" s="202" t="s">
        <v>129</v>
      </c>
      <c r="E21" s="171">
        <f>634.2/7.81</f>
        <v>81.203585147247125</v>
      </c>
    </row>
    <row r="22" spans="1:5" s="221" customFormat="1" x14ac:dyDescent="0.25">
      <c r="A22" s="199">
        <f ca="1">IFERROR(OFFSET(A22,-1,0)+1,1)</f>
        <v>2</v>
      </c>
      <c r="B22" s="279" t="s">
        <v>359</v>
      </c>
      <c r="C22" s="280" t="s">
        <v>114</v>
      </c>
      <c r="D22" s="281" t="s">
        <v>129</v>
      </c>
      <c r="E22" s="172">
        <f>838.06/7.81</f>
        <v>107.30601792573623</v>
      </c>
    </row>
    <row r="23" spans="1:5" s="221" customFormat="1" ht="15.75" thickBot="1" x14ac:dyDescent="0.3">
      <c r="A23" s="199">
        <f ca="1">IFERROR(OFFSET(A23,-1,0)+1,1)</f>
        <v>3</v>
      </c>
      <c r="B23" s="279" t="s">
        <v>133</v>
      </c>
      <c r="C23" s="280" t="s">
        <v>114</v>
      </c>
      <c r="D23" s="281" t="s">
        <v>129</v>
      </c>
      <c r="E23" s="172">
        <f>920.19/7.81</f>
        <v>117.82202304737517</v>
      </c>
    </row>
    <row r="24" spans="1:5" s="221" customFormat="1" ht="15.75" thickBot="1" x14ac:dyDescent="0.3">
      <c r="A24" s="350" t="s">
        <v>130</v>
      </c>
      <c r="B24" s="351"/>
      <c r="C24" s="351"/>
      <c r="D24" s="351"/>
      <c r="E24" s="352"/>
    </row>
    <row r="25" spans="1:5" ht="15.75" thickBot="1" x14ac:dyDescent="0.3">
      <c r="A25" s="353"/>
      <c r="B25" s="354"/>
      <c r="C25" s="354"/>
      <c r="D25" s="354"/>
      <c r="E25" s="355"/>
    </row>
    <row r="26" spans="1:5" s="221" customFormat="1" ht="30.75" thickBot="1" x14ac:dyDescent="0.3">
      <c r="A26" s="194" t="s">
        <v>132</v>
      </c>
      <c r="B26" s="195" t="str">
        <f>Orçamento!$D$47</f>
        <v>FORRO MINERAL REMOVÍVEL MODULAR (625x625x15MM) THERMATEX ANTARIS. ESTRUTURA APARENTE SK. COR BRANCO. REF. KNAUF</v>
      </c>
      <c r="C26" s="196" t="s">
        <v>114</v>
      </c>
      <c r="D26" s="197"/>
      <c r="E26" s="198">
        <f ca="1">IFERROR(IF($E$4="MÉDIA",AVERAGE(OFFSET(E26,1,0,):OFFSET(E30,-1,0,)),IF($E$4="MEDIANA",MEDIAN(OFFSET(E26,1,0,):OFFSET(E30,-1,0,)),0)),0)</f>
        <v>115.55860805860807</v>
      </c>
    </row>
    <row r="27" spans="1:5" s="221" customFormat="1" x14ac:dyDescent="0.25">
      <c r="A27" s="199">
        <f ca="1">IFERROR(OFFSET(A27,-1,0)+1,1)</f>
        <v>1</v>
      </c>
      <c r="B27" s="200" t="s">
        <v>358</v>
      </c>
      <c r="C27" s="201" t="s">
        <v>114</v>
      </c>
      <c r="D27" s="202" t="s">
        <v>129</v>
      </c>
      <c r="E27" s="171">
        <f>503.02/5.46</f>
        <v>92.128205128205124</v>
      </c>
    </row>
    <row r="28" spans="1:5" s="221" customFormat="1" x14ac:dyDescent="0.25">
      <c r="A28" s="199">
        <f ca="1">IFERROR(OFFSET(A28,-1,0)+1,1)</f>
        <v>2</v>
      </c>
      <c r="B28" s="279" t="s">
        <v>359</v>
      </c>
      <c r="C28" s="280" t="s">
        <v>114</v>
      </c>
      <c r="D28" s="281" t="s">
        <v>129</v>
      </c>
      <c r="E28" s="172">
        <f>630.95/5.46</f>
        <v>115.55860805860807</v>
      </c>
    </row>
    <row r="29" spans="1:5" s="221" customFormat="1" ht="15.75" thickBot="1" x14ac:dyDescent="0.3">
      <c r="A29" s="199">
        <f ca="1">IFERROR(OFFSET(A29,-1,0)+1,1)</f>
        <v>3</v>
      </c>
      <c r="B29" s="279" t="s">
        <v>133</v>
      </c>
      <c r="C29" s="280" t="s">
        <v>114</v>
      </c>
      <c r="D29" s="281" t="s">
        <v>129</v>
      </c>
      <c r="E29" s="172">
        <f>692.7/5.46</f>
        <v>126.86813186813188</v>
      </c>
    </row>
    <row r="30" spans="1:5" s="221" customFormat="1" ht="15.75" thickBot="1" x14ac:dyDescent="0.3">
      <c r="A30" s="350" t="s">
        <v>130</v>
      </c>
      <c r="B30" s="351"/>
      <c r="C30" s="351"/>
      <c r="D30" s="351"/>
      <c r="E30" s="352"/>
    </row>
    <row r="31" spans="1:5" ht="15.75" thickBot="1" x14ac:dyDescent="0.3">
      <c r="A31" s="353"/>
      <c r="B31" s="354"/>
      <c r="C31" s="354"/>
      <c r="D31" s="354"/>
      <c r="E31" s="355"/>
    </row>
    <row r="32" spans="1:5" s="221" customFormat="1" ht="42.75" customHeight="1" thickBot="1" x14ac:dyDescent="0.3">
      <c r="A32" s="194" t="s">
        <v>357</v>
      </c>
      <c r="B32" s="195" t="str">
        <f>Orçamento!$D$48</f>
        <v>FORRO EM CHAPA DE GESSO ACARTONADA (TIPO: RESISTÊNCIA A UMIDADE (RU), ESP. 12,5MM, COM FIXAÇÃO DO TIPO ESTRUTURADA EM PERFIL METÁLICO, EXCLUSIVE PERFIL TABICA, SANCA E MOLDURA, INCLUSIVE ACESSÓRIOS E FIXAÇÃO</v>
      </c>
      <c r="C32" s="196" t="s">
        <v>114</v>
      </c>
      <c r="D32" s="197"/>
      <c r="E32" s="198">
        <f ca="1">IFERROR(IF($E$4="MÉDIA",AVERAGE(OFFSET(E32,1,0,):OFFSET(E36,-1,0,)),IF($E$4="MEDIANA",MEDIAN(OFFSET(E32,1,0,):OFFSET(E36,-1,0,)),0)),0)</f>
        <v>124.56489945155394</v>
      </c>
    </row>
    <row r="33" spans="1:6" s="221" customFormat="1" x14ac:dyDescent="0.25">
      <c r="A33" s="199">
        <f ca="1">IFERROR(OFFSET(A33,-1,0)+1,1)</f>
        <v>1</v>
      </c>
      <c r="B33" s="200" t="s">
        <v>358</v>
      </c>
      <c r="C33" s="201" t="s">
        <v>114</v>
      </c>
      <c r="D33" s="202" t="s">
        <v>129</v>
      </c>
      <c r="E33" s="171">
        <f>604/5.47</f>
        <v>110.42047531992688</v>
      </c>
    </row>
    <row r="34" spans="1:6" s="221" customFormat="1" x14ac:dyDescent="0.25">
      <c r="A34" s="199">
        <f ca="1">IFERROR(OFFSET(A34,-1,0)+1,1)</f>
        <v>2</v>
      </c>
      <c r="B34" s="279" t="s">
        <v>360</v>
      </c>
      <c r="C34" s="280" t="s">
        <v>114</v>
      </c>
      <c r="D34" s="281" t="s">
        <v>129</v>
      </c>
      <c r="E34" s="172">
        <f>864.89/5.47</f>
        <v>158.11517367458868</v>
      </c>
    </row>
    <row r="35" spans="1:6" s="221" customFormat="1" ht="15.75" thickBot="1" x14ac:dyDescent="0.3">
      <c r="A35" s="199">
        <f ca="1">IFERROR(OFFSET(A35,-1,0)+1,1)</f>
        <v>3</v>
      </c>
      <c r="B35" s="279" t="s">
        <v>293</v>
      </c>
      <c r="C35" s="280" t="s">
        <v>114</v>
      </c>
      <c r="D35" s="281" t="s">
        <v>129</v>
      </c>
      <c r="E35" s="172">
        <f>681.37/5.47</f>
        <v>124.56489945155394</v>
      </c>
    </row>
    <row r="36" spans="1:6" s="221" customFormat="1" ht="15.75" thickBot="1" x14ac:dyDescent="0.3">
      <c r="A36" s="350" t="s">
        <v>130</v>
      </c>
      <c r="B36" s="351"/>
      <c r="C36" s="351"/>
      <c r="D36" s="351"/>
      <c r="E36" s="352"/>
    </row>
    <row r="37" spans="1:6" ht="15.75" thickBot="1" x14ac:dyDescent="0.3">
      <c r="A37" s="353"/>
      <c r="B37" s="354"/>
      <c r="C37" s="354"/>
      <c r="D37" s="354"/>
      <c r="E37" s="355"/>
    </row>
    <row r="38" spans="1:6" s="221" customFormat="1" ht="16.5" thickBot="1" x14ac:dyDescent="0.3">
      <c r="A38" s="194" t="s">
        <v>134</v>
      </c>
      <c r="B38" s="195" t="s">
        <v>361</v>
      </c>
      <c r="C38" s="196" t="s">
        <v>177</v>
      </c>
      <c r="D38" s="197"/>
      <c r="E38" s="198">
        <f ca="1">IFERROR(IF($E$4="MÉDIA",AVERAGE(OFFSET(E38,1,0,):OFFSET(E42,-1,0,)),IF($E$4="MEDIANA",MEDIAN(OFFSET(E38,1,0,):OFFSET(E42,-1,0,)),0)),0)</f>
        <v>3.3</v>
      </c>
    </row>
    <row r="39" spans="1:6" s="221" customFormat="1" x14ac:dyDescent="0.25">
      <c r="A39" s="199">
        <f ca="1">IFERROR(OFFSET(A39,-1,0)+1,1)</f>
        <v>1</v>
      </c>
      <c r="B39" s="356" t="s">
        <v>362</v>
      </c>
      <c r="C39" s="357" t="s">
        <v>177</v>
      </c>
      <c r="D39" s="358" t="s">
        <v>129</v>
      </c>
      <c r="E39" s="359">
        <v>3.3</v>
      </c>
    </row>
    <row r="40" spans="1:6" s="221" customFormat="1" x14ac:dyDescent="0.25">
      <c r="A40" s="199">
        <f ca="1">IFERROR(OFFSET(A40,-1,0)+1,1)</f>
        <v>2</v>
      </c>
      <c r="B40" s="279" t="s">
        <v>359</v>
      </c>
      <c r="C40" s="360" t="s">
        <v>177</v>
      </c>
      <c r="D40" s="361" t="s">
        <v>129</v>
      </c>
      <c r="E40" s="362">
        <v>3.53</v>
      </c>
    </row>
    <row r="41" spans="1:6" s="221" customFormat="1" ht="15.75" thickBot="1" x14ac:dyDescent="0.3">
      <c r="A41" s="199">
        <f ca="1">IFERROR(OFFSET(A41,-1,0)+1,1)</f>
        <v>3</v>
      </c>
      <c r="B41" s="363" t="s">
        <v>293</v>
      </c>
      <c r="C41" s="364" t="s">
        <v>177</v>
      </c>
      <c r="D41" s="365" t="s">
        <v>129</v>
      </c>
      <c r="E41" s="366">
        <v>3.15</v>
      </c>
    </row>
    <row r="42" spans="1:6" s="221" customFormat="1" ht="15.75" thickBot="1" x14ac:dyDescent="0.3">
      <c r="A42" s="350" t="s">
        <v>130</v>
      </c>
      <c r="B42" s="351"/>
      <c r="C42" s="351"/>
      <c r="D42" s="351"/>
      <c r="E42" s="352"/>
    </row>
    <row r="43" spans="1:6" ht="15.75" thickBot="1" x14ac:dyDescent="0.3">
      <c r="A43" s="353"/>
      <c r="B43" s="354"/>
      <c r="C43" s="354"/>
      <c r="D43" s="354"/>
      <c r="E43" s="355"/>
    </row>
    <row r="44" spans="1:6" s="221" customFormat="1" ht="30.75" thickBot="1" x14ac:dyDescent="0.3">
      <c r="A44" s="194" t="s">
        <v>136</v>
      </c>
      <c r="B44" s="195" t="s">
        <v>316</v>
      </c>
      <c r="C44" s="196" t="s">
        <v>128</v>
      </c>
      <c r="D44" s="197"/>
      <c r="E44" s="198">
        <f ca="1">IFERROR(IF($E$4="MÉDIA",AVERAGE(OFFSET(E44,1,0,):OFFSET(E48,-1,0,)),IF($E$4="MEDIANA",MEDIAN(OFFSET(E44,1,0,):OFFSET(E48,-1,0,)),0)),0)</f>
        <v>109.74001629991851</v>
      </c>
    </row>
    <row r="45" spans="1:6" s="221" customFormat="1" x14ac:dyDescent="0.25">
      <c r="A45" s="199">
        <f ca="1">IFERROR(OFFSET(A45,-1,0)+1,1)</f>
        <v>1</v>
      </c>
      <c r="B45" s="200" t="s">
        <v>352</v>
      </c>
      <c r="C45" s="201" t="s">
        <v>114</v>
      </c>
      <c r="D45" s="202" t="s">
        <v>129</v>
      </c>
      <c r="E45" s="171">
        <v>116.4</v>
      </c>
    </row>
    <row r="46" spans="1:6" s="221" customFormat="1" x14ac:dyDescent="0.25">
      <c r="A46" s="199">
        <f ca="1">IFERROR(OFFSET(A46,-1,0)+1,1)</f>
        <v>2</v>
      </c>
      <c r="B46" s="279" t="s">
        <v>355</v>
      </c>
      <c r="C46" s="280" t="s">
        <v>114</v>
      </c>
      <c r="D46" s="281" t="s">
        <v>129</v>
      </c>
      <c r="E46" s="172">
        <f>39905.72/453.99</f>
        <v>87.899997797308316</v>
      </c>
      <c r="F46" s="222"/>
    </row>
    <row r="47" spans="1:6" s="221" customFormat="1" ht="15.75" thickBot="1" x14ac:dyDescent="0.3">
      <c r="A47" s="199">
        <f ca="1">IFERROR(OFFSET(A47,-1,0)+1,1)</f>
        <v>3</v>
      </c>
      <c r="B47" s="279" t="s">
        <v>356</v>
      </c>
      <c r="C47" s="280" t="s">
        <v>114</v>
      </c>
      <c r="D47" s="281" t="s">
        <v>129</v>
      </c>
      <c r="E47" s="172">
        <f>49820.87/453.99</f>
        <v>109.74001629991851</v>
      </c>
      <c r="F47" s="222"/>
    </row>
    <row r="48" spans="1:6" s="221" customFormat="1" ht="15.75" thickBot="1" x14ac:dyDescent="0.3">
      <c r="A48" s="350" t="s">
        <v>130</v>
      </c>
      <c r="B48" s="351"/>
      <c r="C48" s="351"/>
      <c r="D48" s="351"/>
      <c r="E48" s="352"/>
    </row>
    <row r="49" spans="1:5" ht="15.75" thickBot="1" x14ac:dyDescent="0.3">
      <c r="A49" s="353"/>
      <c r="B49" s="354"/>
      <c r="C49" s="354"/>
      <c r="D49" s="354"/>
      <c r="E49" s="355"/>
    </row>
    <row r="50" spans="1:5" s="221" customFormat="1" ht="30.75" thickBot="1" x14ac:dyDescent="0.3">
      <c r="A50" s="194" t="s">
        <v>154</v>
      </c>
      <c r="B50" s="195" t="s">
        <v>317</v>
      </c>
      <c r="C50" s="196" t="s">
        <v>114</v>
      </c>
      <c r="D50" s="197"/>
      <c r="E50" s="198">
        <f ca="1">IFERROR(IF($E$4="MÉDIA",AVERAGE(OFFSET(E50,1,0,):OFFSET(E54,-1,0,)),IF($E$4="MEDIANA",MEDIAN(OFFSET(E50,1,0,):OFFSET(E54,-1,0,)),0)),0)</f>
        <v>23.99</v>
      </c>
    </row>
    <row r="51" spans="1:5" s="221" customFormat="1" x14ac:dyDescent="0.25">
      <c r="A51" s="199">
        <f ca="1">IFERROR(OFFSET(A51,-1,0)+1,1)</f>
        <v>1</v>
      </c>
      <c r="B51" s="200" t="s">
        <v>373</v>
      </c>
      <c r="C51" s="201" t="s">
        <v>114</v>
      </c>
      <c r="D51" s="202" t="s">
        <v>129</v>
      </c>
      <c r="E51" s="171">
        <v>16.690000000000001</v>
      </c>
    </row>
    <row r="52" spans="1:5" s="221" customFormat="1" x14ac:dyDescent="0.25">
      <c r="A52" s="199">
        <f ca="1">IFERROR(OFFSET(A52,-1,0)+1,1)</f>
        <v>2</v>
      </c>
      <c r="B52" s="279" t="s">
        <v>374</v>
      </c>
      <c r="C52" s="280" t="s">
        <v>114</v>
      </c>
      <c r="D52" s="281" t="s">
        <v>129</v>
      </c>
      <c r="E52" s="172">
        <v>23.99</v>
      </c>
    </row>
    <row r="53" spans="1:5" s="221" customFormat="1" ht="15.75" thickBot="1" x14ac:dyDescent="0.3">
      <c r="A53" s="199">
        <f ca="1">IFERROR(OFFSET(A53,-1,0)+1,1)</f>
        <v>3</v>
      </c>
      <c r="B53" s="279" t="s">
        <v>375</v>
      </c>
      <c r="C53" s="280" t="s">
        <v>114</v>
      </c>
      <c r="D53" s="281" t="s">
        <v>129</v>
      </c>
      <c r="E53" s="172">
        <v>33.71</v>
      </c>
    </row>
    <row r="54" spans="1:5" s="221" customFormat="1" ht="15.75" thickBot="1" x14ac:dyDescent="0.3">
      <c r="A54" s="350" t="s">
        <v>130</v>
      </c>
      <c r="B54" s="351"/>
      <c r="C54" s="351"/>
      <c r="D54" s="351"/>
      <c r="E54" s="352"/>
    </row>
    <row r="55" spans="1:5" ht="15.75" thickBot="1" x14ac:dyDescent="0.3">
      <c r="A55" s="353"/>
      <c r="B55" s="354"/>
      <c r="C55" s="354"/>
      <c r="D55" s="354"/>
      <c r="E55" s="355"/>
    </row>
    <row r="56" spans="1:5" s="221" customFormat="1" ht="30.75" thickBot="1" x14ac:dyDescent="0.3">
      <c r="A56" s="194" t="s">
        <v>155</v>
      </c>
      <c r="B56" s="195" t="str">
        <f>Orçamento!$D$97</f>
        <v>LUMINÁRIA PARA LÂMPADA LED DE EMBUTIR. COM ALETAS E REFLETORES PARABÓLICOS EM ALUMÍNIO 124X31CM</v>
      </c>
      <c r="C56" s="196" t="s">
        <v>177</v>
      </c>
      <c r="D56" s="197"/>
      <c r="E56" s="198">
        <f ca="1">IFERROR(IF($E$4="MÉDIA",AVERAGE(OFFSET(E56,1,0,):OFFSET(E60,-1,0,)),IF($E$4="MEDIANA",MEDIAN(OFFSET(E56,1,0,):OFFSET(E60,-1,0,)),0)),0)</f>
        <v>185.46</v>
      </c>
    </row>
    <row r="57" spans="1:5" s="221" customFormat="1" x14ac:dyDescent="0.25">
      <c r="A57" s="199">
        <f ca="1">IFERROR(OFFSET(A57,-1,0)+1,1)</f>
        <v>1</v>
      </c>
      <c r="B57" s="200" t="s">
        <v>379</v>
      </c>
      <c r="C57" s="357" t="s">
        <v>177</v>
      </c>
      <c r="D57" s="202" t="s">
        <v>129</v>
      </c>
      <c r="E57" s="171">
        <f>137.94+23.76*2</f>
        <v>185.46</v>
      </c>
    </row>
    <row r="58" spans="1:5" s="221" customFormat="1" x14ac:dyDescent="0.25">
      <c r="A58" s="199">
        <f ca="1">IFERROR(OFFSET(A58,-1,0)+1,1)</f>
        <v>2</v>
      </c>
      <c r="B58" s="279" t="s">
        <v>380</v>
      </c>
      <c r="C58" s="280" t="s">
        <v>177</v>
      </c>
      <c r="D58" s="281" t="s">
        <v>129</v>
      </c>
      <c r="E58" s="172">
        <f>115.56+19.5*2</f>
        <v>154.56</v>
      </c>
    </row>
    <row r="59" spans="1:5" s="221" customFormat="1" ht="15.75" thickBot="1" x14ac:dyDescent="0.3">
      <c r="A59" s="199">
        <f ca="1">IFERROR(OFFSET(A59,-1,0)+1,1)</f>
        <v>3</v>
      </c>
      <c r="B59" s="279" t="s">
        <v>294</v>
      </c>
      <c r="C59" s="280" t="s">
        <v>177</v>
      </c>
      <c r="D59" s="281" t="s">
        <v>129</v>
      </c>
      <c r="E59" s="172">
        <f>340</f>
        <v>340</v>
      </c>
    </row>
    <row r="60" spans="1:5" s="221" customFormat="1" ht="15.75" thickBot="1" x14ac:dyDescent="0.3">
      <c r="A60" s="350"/>
      <c r="B60" s="351"/>
      <c r="C60" s="351"/>
      <c r="D60" s="351"/>
      <c r="E60" s="352"/>
    </row>
    <row r="61" spans="1:5" ht="15.75" thickBot="1" x14ac:dyDescent="0.3">
      <c r="A61" s="353"/>
      <c r="B61" s="354"/>
      <c r="C61" s="354"/>
      <c r="D61" s="354"/>
      <c r="E61" s="355"/>
    </row>
    <row r="62" spans="1:5" s="221" customFormat="1" ht="30.75" thickBot="1" x14ac:dyDescent="0.3">
      <c r="A62" s="194" t="s">
        <v>137</v>
      </c>
      <c r="B62" s="195" t="str">
        <f>Orçamento!$D$98</f>
        <v>LUMINÁRIA PARA LÂMPADA LED DE EMBUTIR. COM ALETAS E REFLETORES PARABÓLICOS EM ALUMÍNIO 62X62CM</v>
      </c>
      <c r="C62" s="196" t="s">
        <v>177</v>
      </c>
      <c r="D62" s="197"/>
      <c r="E62" s="198">
        <f ca="1">IFERROR(IF($E$4="MÉDIA",AVERAGE(OFFSET(E62,1,0,):OFFSET(E66,-1,0,)),IF($E$4="MEDIANA",MEDIAN(OFFSET(E62,1,0,):OFFSET(E66,-1,0,)),0)),0)</f>
        <v>276.45999999999998</v>
      </c>
    </row>
    <row r="63" spans="1:5" s="221" customFormat="1" x14ac:dyDescent="0.25">
      <c r="A63" s="199">
        <f ca="1">IFERROR(OFFSET(A63,-1,0)+1,1)</f>
        <v>1</v>
      </c>
      <c r="B63" s="200" t="s">
        <v>379</v>
      </c>
      <c r="C63" s="357" t="s">
        <v>177</v>
      </c>
      <c r="D63" s="202" t="s">
        <v>129</v>
      </c>
      <c r="E63" s="171">
        <f>161.51+18.48*4</f>
        <v>235.43</v>
      </c>
    </row>
    <row r="64" spans="1:5" s="221" customFormat="1" x14ac:dyDescent="0.25">
      <c r="A64" s="199">
        <f ca="1">IFERROR(OFFSET(A64,-1,0)+1,1)</f>
        <v>2</v>
      </c>
      <c r="B64" s="279" t="s">
        <v>380</v>
      </c>
      <c r="C64" s="280" t="s">
        <v>177</v>
      </c>
      <c r="D64" s="281" t="s">
        <v>129</v>
      </c>
      <c r="E64" s="172">
        <f>203.66+18.2*4</f>
        <v>276.45999999999998</v>
      </c>
    </row>
    <row r="65" spans="1:6" s="221" customFormat="1" ht="15.75" thickBot="1" x14ac:dyDescent="0.3">
      <c r="A65" s="199">
        <f ca="1">IFERROR(OFFSET(A65,-1,0)+1,1)</f>
        <v>3</v>
      </c>
      <c r="B65" s="279" t="s">
        <v>294</v>
      </c>
      <c r="C65" s="280" t="s">
        <v>177</v>
      </c>
      <c r="D65" s="281" t="s">
        <v>129</v>
      </c>
      <c r="E65" s="172">
        <v>295</v>
      </c>
    </row>
    <row r="66" spans="1:6" s="221" customFormat="1" ht="15.75" thickBot="1" x14ac:dyDescent="0.3">
      <c r="A66" s="350"/>
      <c r="B66" s="351"/>
      <c r="C66" s="351"/>
      <c r="D66" s="351"/>
      <c r="E66" s="352"/>
    </row>
    <row r="67" spans="1:6" ht="15.75" thickBot="1" x14ac:dyDescent="0.3">
      <c r="A67" s="353"/>
      <c r="B67" s="354"/>
      <c r="C67" s="354"/>
      <c r="D67" s="354"/>
      <c r="E67" s="355"/>
    </row>
    <row r="68" spans="1:6" s="221" customFormat="1" ht="16.5" thickBot="1" x14ac:dyDescent="0.3">
      <c r="A68" s="194" t="s">
        <v>138</v>
      </c>
      <c r="B68" s="195" t="str">
        <f>Orçamento!$D$99</f>
        <v>PAINEL LED DE EMBUTIR SLIM 62X62CM</v>
      </c>
      <c r="C68" s="196" t="s">
        <v>177</v>
      </c>
      <c r="D68" s="197"/>
      <c r="E68" s="198">
        <f ca="1">IFERROR(IF($E$4="MÉDIA",AVERAGE(OFFSET(E68,1,0,):OFFSET(E72,-1,0,)),IF($E$4="MEDIANA",MEDIAN(OFFSET(E68,1,0,):OFFSET(E72,-1,0,)),0)),0)</f>
        <v>227.09</v>
      </c>
    </row>
    <row r="69" spans="1:6" s="221" customFormat="1" x14ac:dyDescent="0.25">
      <c r="A69" s="199">
        <f ca="1">IFERROR(OFFSET(A69,-1,0)+1,1)</f>
        <v>1</v>
      </c>
      <c r="B69" s="200" t="s">
        <v>379</v>
      </c>
      <c r="C69" s="357" t="s">
        <v>177</v>
      </c>
      <c r="D69" s="202" t="s">
        <v>129</v>
      </c>
      <c r="E69" s="171">
        <v>206.78</v>
      </c>
    </row>
    <row r="70" spans="1:6" s="221" customFormat="1" x14ac:dyDescent="0.25">
      <c r="A70" s="199">
        <f ca="1">IFERROR(OFFSET(A70,-1,0)+1,1)</f>
        <v>2</v>
      </c>
      <c r="B70" s="279" t="s">
        <v>380</v>
      </c>
      <c r="C70" s="280" t="s">
        <v>177</v>
      </c>
      <c r="D70" s="281" t="s">
        <v>129</v>
      </c>
      <c r="E70" s="172">
        <v>227.09</v>
      </c>
      <c r="F70" s="222"/>
    </row>
    <row r="71" spans="1:6" s="221" customFormat="1" ht="15.75" thickBot="1" x14ac:dyDescent="0.3">
      <c r="A71" s="199">
        <f ca="1">IFERROR(OFFSET(A71,-1,0)+1,1)</f>
        <v>3</v>
      </c>
      <c r="B71" s="279" t="s">
        <v>294</v>
      </c>
      <c r="C71" s="280" t="s">
        <v>177</v>
      </c>
      <c r="D71" s="281" t="s">
        <v>129</v>
      </c>
      <c r="E71" s="172">
        <v>390</v>
      </c>
      <c r="F71" s="222"/>
    </row>
    <row r="72" spans="1:6" ht="15.75" thickBot="1" x14ac:dyDescent="0.3">
      <c r="A72" s="367"/>
      <c r="B72" s="368"/>
      <c r="C72" s="368"/>
      <c r="D72" s="368"/>
      <c r="E72" s="369"/>
    </row>
    <row r="73" spans="1:6" s="221" customFormat="1" ht="45.75" thickBot="1" x14ac:dyDescent="0.3">
      <c r="A73" s="194" t="s">
        <v>139</v>
      </c>
      <c r="B73" s="195" t="str">
        <f>Orçamento!D184</f>
        <v>DV01: CONJUNTO DE DIVISÓRIA PISO TETO COM 90MM DE ESPESSURA, E VIDRO DUPLO 8MM TEMPERADO. ESTRUTURA EM QUADROS PARA VIDRO DUPLO EM 100% ALUMÍNIO COM ACABAMENTO ANODIZADO NA COR PRETO.</v>
      </c>
      <c r="C73" s="196" t="s">
        <v>177</v>
      </c>
      <c r="D73" s="197"/>
      <c r="E73" s="198">
        <f ca="1">IFERROR(IF($E$4="MÉDIA",AVERAGE(OFFSET(E73,1,0,):OFFSET(E77,-1,0,)),IF($E$4="MEDIANA",MEDIAN(OFFSET(E73,1,0,):OFFSET(E77,-1,0,)),0)),0)</f>
        <v>25138.95</v>
      </c>
    </row>
    <row r="74" spans="1:6" s="221" customFormat="1" x14ac:dyDescent="0.25">
      <c r="A74" s="199">
        <f ca="1">IFERROR(OFFSET(A74,-1,0)+1,1)</f>
        <v>1</v>
      </c>
      <c r="B74" s="200" t="s">
        <v>381</v>
      </c>
      <c r="C74" s="357" t="s">
        <v>177</v>
      </c>
      <c r="D74" s="202" t="s">
        <v>129</v>
      </c>
      <c r="E74" s="171">
        <f>1500.75*10.8</f>
        <v>16208.1</v>
      </c>
    </row>
    <row r="75" spans="1:6" s="221" customFormat="1" x14ac:dyDescent="0.25">
      <c r="A75" s="199">
        <f ca="1">IFERROR(OFFSET(A75,-1,0)+1,1)</f>
        <v>2</v>
      </c>
      <c r="B75" s="279" t="s">
        <v>382</v>
      </c>
      <c r="C75" s="280" t="s">
        <v>177</v>
      </c>
      <c r="D75" s="281" t="s">
        <v>129</v>
      </c>
      <c r="E75" s="172">
        <v>25138.95</v>
      </c>
    </row>
    <row r="76" spans="1:6" s="221" customFormat="1" ht="15.75" thickBot="1" x14ac:dyDescent="0.3">
      <c r="A76" s="199">
        <f ca="1">IFERROR(OFFSET(A76,-1,0)+1,1)</f>
        <v>3</v>
      </c>
      <c r="B76" s="279" t="s">
        <v>383</v>
      </c>
      <c r="C76" s="280" t="s">
        <v>177</v>
      </c>
      <c r="D76" s="281" t="s">
        <v>129</v>
      </c>
      <c r="E76" s="172">
        <f>28964.28</f>
        <v>28964.28</v>
      </c>
      <c r="F76" s="370"/>
    </row>
    <row r="77" spans="1:6" ht="15.75" thickBot="1" x14ac:dyDescent="0.3">
      <c r="A77" s="367"/>
      <c r="B77" s="368"/>
      <c r="C77" s="368"/>
      <c r="D77" s="368"/>
      <c r="E77" s="369"/>
    </row>
    <row r="78" spans="1:6" s="221" customFormat="1" ht="45.75" thickBot="1" x14ac:dyDescent="0.3">
      <c r="A78" s="194" t="s">
        <v>140</v>
      </c>
      <c r="B78" s="195" t="str">
        <f>Orçamento!D185</f>
        <v>DV02: DIVISÓRIA PISO TETO COM 90MM DE ESPESSURA, E VIDRO DUPLO 8MM TEMPERADO, COM PERSIANAS ENTRE VIDROS COR PRETO. ESTRUTURA EM QUADROS PARA VIDRO DUPLO EM 100% ALUMÍNIO COM ACABAMENTO ANODIZADO NA COR PRETO.</v>
      </c>
      <c r="C78" s="196" t="s">
        <v>177</v>
      </c>
      <c r="D78" s="197"/>
      <c r="E78" s="198">
        <f ca="1">IFERROR(IF($E$4="MÉDIA",AVERAGE(OFFSET(E78,1,0,):OFFSET(E82,-1,0,)),IF($E$4="MEDIANA",MEDIAN(OFFSET(E78,1,0,):OFFSET(E82,-1,0,)),0)),0)</f>
        <v>9239.44</v>
      </c>
      <c r="F78" s="370"/>
    </row>
    <row r="79" spans="1:6" s="221" customFormat="1" x14ac:dyDescent="0.25">
      <c r="A79" s="199">
        <f ca="1">IFERROR(OFFSET(A79,-1,0)+1,1)</f>
        <v>1</v>
      </c>
      <c r="B79" s="200" t="s">
        <v>381</v>
      </c>
      <c r="C79" s="357" t="s">
        <v>177</v>
      </c>
      <c r="D79" s="202" t="s">
        <v>129</v>
      </c>
      <c r="E79" s="171">
        <f>2019.51*2.8</f>
        <v>5654.6279999999997</v>
      </c>
    </row>
    <row r="80" spans="1:6" s="221" customFormat="1" x14ac:dyDescent="0.25">
      <c r="A80" s="199">
        <f ca="1">IFERROR(OFFSET(A80,-1,0)+1,1)</f>
        <v>2</v>
      </c>
      <c r="B80" s="279" t="s">
        <v>382</v>
      </c>
      <c r="C80" s="280" t="s">
        <v>177</v>
      </c>
      <c r="D80" s="281" t="s">
        <v>129</v>
      </c>
      <c r="E80" s="172">
        <v>9239.44</v>
      </c>
    </row>
    <row r="81" spans="1:7" s="221" customFormat="1" ht="15.75" thickBot="1" x14ac:dyDescent="0.3">
      <c r="A81" s="199">
        <f ca="1">IFERROR(OFFSET(A81,-1,0)+1,1)</f>
        <v>3</v>
      </c>
      <c r="B81" s="279" t="s">
        <v>383</v>
      </c>
      <c r="C81" s="280" t="s">
        <v>177</v>
      </c>
      <c r="D81" s="281" t="s">
        <v>129</v>
      </c>
      <c r="E81" s="172">
        <v>16174.65</v>
      </c>
      <c r="G81" s="370"/>
    </row>
    <row r="82" spans="1:7" ht="15.75" thickBot="1" x14ac:dyDescent="0.3">
      <c r="A82" s="367"/>
      <c r="B82" s="368"/>
      <c r="C82" s="368"/>
      <c r="D82" s="368"/>
      <c r="E82" s="369"/>
    </row>
    <row r="83" spans="1:7" s="221" customFormat="1" ht="60.75" thickBot="1" x14ac:dyDescent="0.3">
      <c r="A83" s="194" t="s">
        <v>141</v>
      </c>
      <c r="B83" s="195" t="str">
        <f>Orçamento!D186</f>
        <v>P01: PORTA PARA DIVISÓRIA COM VIDRO DUPLO 6MM TEMPERADO, COM PERSIANAS ENTRE VIDROS COR PRETO. ESTRUTURA EM ALUMÍNIO COM ACABAMENTO ANODIZADO NA COR PRETO. FECHADURA PARA PORTA 517 TUBULAR INOX INTERNO ST2 55 ROS 357 INOX PRETO FOSCO. FAB. LA FONTE OU EQUIVALENTE</v>
      </c>
      <c r="C83" s="196" t="s">
        <v>177</v>
      </c>
      <c r="D83" s="197"/>
      <c r="E83" s="198">
        <f ca="1">IFERROR(IF($E$4="MÉDIA",AVERAGE(OFFSET(E83,1,0,):OFFSET(E87,-1,0,)),IF($E$4="MEDIANA",MEDIAN(OFFSET(E83,1,0,):OFFSET(E87,-1,0,)),0)),0)</f>
        <v>9908.23</v>
      </c>
    </row>
    <row r="84" spans="1:7" s="221" customFormat="1" x14ac:dyDescent="0.25">
      <c r="A84" s="371">
        <f ca="1">IFERROR(OFFSET(A84,-1,0)+1,1)</f>
        <v>1</v>
      </c>
      <c r="B84" s="372" t="s">
        <v>381</v>
      </c>
      <c r="C84" s="373" t="s">
        <v>177</v>
      </c>
      <c r="D84" s="374" t="s">
        <v>129</v>
      </c>
      <c r="E84" s="375">
        <f>6128.23+555.45+83.03*2</f>
        <v>6849.74</v>
      </c>
    </row>
    <row r="85" spans="1:7" s="221" customFormat="1" x14ac:dyDescent="0.25">
      <c r="A85" s="199">
        <f ca="1">IFERROR(OFFSET(A85,-1,0)+1,1)</f>
        <v>2</v>
      </c>
      <c r="B85" s="279" t="s">
        <v>382</v>
      </c>
      <c r="C85" s="280" t="s">
        <v>177</v>
      </c>
      <c r="D85" s="281" t="s">
        <v>129</v>
      </c>
      <c r="E85" s="172">
        <f>11933.28+(765/2)+64.28</f>
        <v>12380.060000000001</v>
      </c>
    </row>
    <row r="86" spans="1:7" s="221" customFormat="1" ht="15.75" thickBot="1" x14ac:dyDescent="0.3">
      <c r="A86" s="199">
        <f ca="1">IFERROR(OFFSET(A86,-1,0)+1,1)</f>
        <v>3</v>
      </c>
      <c r="B86" s="279" t="s">
        <v>383</v>
      </c>
      <c r="C86" s="280" t="s">
        <v>177</v>
      </c>
      <c r="D86" s="281" t="s">
        <v>129</v>
      </c>
      <c r="E86" s="172">
        <v>9908.23</v>
      </c>
    </row>
    <row r="87" spans="1:7" ht="15.75" thickBot="1" x14ac:dyDescent="0.3">
      <c r="A87" s="367"/>
      <c r="B87" s="368"/>
      <c r="C87" s="368"/>
      <c r="D87" s="368"/>
      <c r="E87" s="369"/>
    </row>
    <row r="88" spans="1:7" s="221" customFormat="1" ht="60.75" thickBot="1" x14ac:dyDescent="0.3">
      <c r="A88" s="194" t="s">
        <v>143</v>
      </c>
      <c r="B88" s="195" t="str">
        <f>Orçamento!$D$187</f>
        <v>P02: PORTA PARA DIVISÓRIA COM VIDRO DUPLO 6MM TEMPERADO. ESTRUTURA EM  ALUMÍNIO COM ACABAMENTO ANODIZADO NA COR PRETO. FECHADURA PARA
PORTA 517 TUBULAR INOX INTERNO ST2 55 ROS 357 INOX PRETO FOSCO. FAB.
LA FONTE OU EQUIVALENTE.</v>
      </c>
      <c r="C88" s="196" t="s">
        <v>177</v>
      </c>
      <c r="D88" s="197"/>
      <c r="E88" s="198">
        <f ca="1">IFERROR(IF($E$4="MÉDIA",AVERAGE(OFFSET(E88,1,0,):OFFSET(E92,-1,0,)),IF($E$4="MEDIANA",MEDIAN(OFFSET(E88,1,0,):OFFSET(E92,-1,0,)),0)),0)</f>
        <v>8717.2800000000007</v>
      </c>
    </row>
    <row r="89" spans="1:7" s="221" customFormat="1" x14ac:dyDescent="0.25">
      <c r="A89" s="199">
        <f ca="1">IFERROR(OFFSET(A89,-1,0)+1,1)</f>
        <v>1</v>
      </c>
      <c r="B89" s="200" t="s">
        <v>381</v>
      </c>
      <c r="C89" s="357" t="s">
        <v>177</v>
      </c>
      <c r="D89" s="202" t="s">
        <v>129</v>
      </c>
      <c r="E89" s="171">
        <f>5253.54+555.45+83.03*2</f>
        <v>5975.05</v>
      </c>
    </row>
    <row r="90" spans="1:7" s="221" customFormat="1" x14ac:dyDescent="0.25">
      <c r="A90" s="199">
        <f ca="1">IFERROR(OFFSET(A90,-1,0)+1,1)</f>
        <v>2</v>
      </c>
      <c r="B90" s="279" t="s">
        <v>382</v>
      </c>
      <c r="C90" s="280" t="s">
        <v>177</v>
      </c>
      <c r="D90" s="281" t="s">
        <v>129</v>
      </c>
      <c r="E90" s="172">
        <f>10752.94+64.28+(765/2)</f>
        <v>11199.720000000001</v>
      </c>
    </row>
    <row r="91" spans="1:7" s="221" customFormat="1" ht="15.75" thickBot="1" x14ac:dyDescent="0.3">
      <c r="A91" s="199">
        <f ca="1">IFERROR(OFFSET(A91,-1,0)+1,1)</f>
        <v>3</v>
      </c>
      <c r="B91" s="279" t="s">
        <v>383</v>
      </c>
      <c r="C91" s="280" t="s">
        <v>177</v>
      </c>
      <c r="D91" s="281" t="s">
        <v>129</v>
      </c>
      <c r="E91" s="172">
        <v>8717.2800000000007</v>
      </c>
    </row>
    <row r="92" spans="1:7" ht="15.75" thickBot="1" x14ac:dyDescent="0.3">
      <c r="A92" s="367"/>
      <c r="B92" s="368"/>
      <c r="C92" s="368"/>
      <c r="D92" s="368"/>
      <c r="E92" s="369"/>
    </row>
    <row r="93" spans="1:7" s="221" customFormat="1" ht="16.5" thickBot="1" x14ac:dyDescent="0.3">
      <c r="A93" s="194" t="s">
        <v>142</v>
      </c>
      <c r="B93" s="195" t="str">
        <f>Orçamento!$D$197</f>
        <v>PAU D'ÁGUA (Dracaena fragrans) EM VASO DE POLIETILENO REDONDO BRANCO 40x40CM</v>
      </c>
      <c r="C93" s="196" t="s">
        <v>177</v>
      </c>
      <c r="D93" s="197"/>
      <c r="E93" s="198">
        <f ca="1">IFERROR(IF($E$4="MÉDIA",AVERAGE(OFFSET(E93,1,0,):OFFSET(E97,-1,0,)),IF($E$4="MEDIANA",MEDIAN(OFFSET(E93,1,0,):OFFSET(E97,-1,0,)),0)),0)</f>
        <v>289.8</v>
      </c>
      <c r="G93" s="370"/>
    </row>
    <row r="94" spans="1:7" s="221" customFormat="1" x14ac:dyDescent="0.25">
      <c r="A94" s="199">
        <f ca="1">IFERROR(OFFSET(A94,-1,0)+1,1)</f>
        <v>1</v>
      </c>
      <c r="B94" s="200" t="s">
        <v>388</v>
      </c>
      <c r="C94" s="357" t="s">
        <v>177</v>
      </c>
      <c r="D94" s="202" t="s">
        <v>129</v>
      </c>
      <c r="E94" s="171">
        <f>139.9+69.9</f>
        <v>209.8</v>
      </c>
    </row>
    <row r="95" spans="1:7" s="221" customFormat="1" x14ac:dyDescent="0.25">
      <c r="A95" s="199">
        <f ca="1">IFERROR(OFFSET(A95,-1,0)+1,1)</f>
        <v>2</v>
      </c>
      <c r="B95" s="279" t="s">
        <v>389</v>
      </c>
      <c r="C95" s="280" t="s">
        <v>177</v>
      </c>
      <c r="D95" s="281" t="s">
        <v>129</v>
      </c>
      <c r="E95" s="172">
        <f>139.9+149.9</f>
        <v>289.8</v>
      </c>
    </row>
    <row r="96" spans="1:7" s="221" customFormat="1" ht="15.75" thickBot="1" x14ac:dyDescent="0.3">
      <c r="A96" s="199">
        <f ca="1">IFERROR(OFFSET(A96,-1,0)+1,1)</f>
        <v>3</v>
      </c>
      <c r="B96" s="279" t="s">
        <v>390</v>
      </c>
      <c r="C96" s="280" t="s">
        <v>177</v>
      </c>
      <c r="D96" s="281" t="s">
        <v>129</v>
      </c>
      <c r="E96" s="172">
        <f>561.26+129.86</f>
        <v>691.12</v>
      </c>
    </row>
    <row r="97" spans="1:5" ht="15.75" thickBot="1" x14ac:dyDescent="0.3">
      <c r="A97" s="367"/>
      <c r="B97" s="368"/>
      <c r="C97" s="368"/>
      <c r="D97" s="368"/>
      <c r="E97" s="369"/>
    </row>
    <row r="98" spans="1:5" s="221" customFormat="1" ht="16.5" thickBot="1" x14ac:dyDescent="0.3">
      <c r="A98" s="194" t="s">
        <v>384</v>
      </c>
      <c r="B98" s="195" t="str">
        <f>CPU!$D$252</f>
        <v xml:space="preserve">PROTETOR DE PISO </v>
      </c>
      <c r="C98" s="196" t="s">
        <v>396</v>
      </c>
      <c r="D98" s="197"/>
      <c r="E98" s="198">
        <f ca="1">IFERROR(IF($E$4="MÉDIA",AVERAGE(OFFSET(E98,1,0,):OFFSET(E102,-1,0,)),IF($E$4="MEDIANA",MEDIAN(OFFSET(E98,1,0,):OFFSET(E102,-1,0,)),0)),0)</f>
        <v>189.9</v>
      </c>
    </row>
    <row r="99" spans="1:5" s="221" customFormat="1" x14ac:dyDescent="0.25">
      <c r="A99" s="199">
        <f ca="1">IFERROR(OFFSET(A99,-1,0)+1,1)</f>
        <v>1</v>
      </c>
      <c r="B99" s="356" t="s">
        <v>277</v>
      </c>
      <c r="C99" s="357" t="s">
        <v>396</v>
      </c>
      <c r="D99" s="358" t="s">
        <v>129</v>
      </c>
      <c r="E99" s="359">
        <v>184.39</v>
      </c>
    </row>
    <row r="100" spans="1:5" s="221" customFormat="1" x14ac:dyDescent="0.25">
      <c r="A100" s="199">
        <f ca="1">IFERROR(OFFSET(A100,-1,0)+1,1)</f>
        <v>2</v>
      </c>
      <c r="B100" s="376" t="s">
        <v>397</v>
      </c>
      <c r="C100" s="360" t="s">
        <v>396</v>
      </c>
      <c r="D100" s="361" t="s">
        <v>129</v>
      </c>
      <c r="E100" s="362">
        <v>189.9</v>
      </c>
    </row>
    <row r="101" spans="1:5" s="221" customFormat="1" ht="15.75" thickBot="1" x14ac:dyDescent="0.3">
      <c r="A101" s="199">
        <f ca="1">IFERROR(OFFSET(A101,-1,0)+1,1)</f>
        <v>3</v>
      </c>
      <c r="B101" s="376" t="s">
        <v>398</v>
      </c>
      <c r="C101" s="360" t="s">
        <v>396</v>
      </c>
      <c r="D101" s="361" t="s">
        <v>129</v>
      </c>
      <c r="E101" s="362">
        <v>189.9</v>
      </c>
    </row>
    <row r="102" spans="1:5" s="221" customFormat="1" ht="15.75" thickBot="1" x14ac:dyDescent="0.3">
      <c r="A102" s="350" t="s">
        <v>130</v>
      </c>
      <c r="B102" s="351"/>
      <c r="C102" s="351"/>
      <c r="D102" s="351"/>
      <c r="E102" s="352"/>
    </row>
    <row r="103" spans="1:5" ht="15.75" thickBot="1" x14ac:dyDescent="0.3">
      <c r="A103" s="353"/>
      <c r="B103" s="354"/>
      <c r="C103" s="354"/>
      <c r="D103" s="354"/>
      <c r="E103" s="355"/>
    </row>
    <row r="104" spans="1:5" s="221" customFormat="1" ht="16.5" thickBot="1" x14ac:dyDescent="0.3">
      <c r="A104" s="194" t="s">
        <v>188</v>
      </c>
      <c r="B104" s="195" t="s">
        <v>562</v>
      </c>
      <c r="C104" s="196" t="s">
        <v>128</v>
      </c>
      <c r="D104" s="197"/>
      <c r="E104" s="198">
        <f ca="1">IFERROR(IF($E$4="MÉDIA",AVERAGE(OFFSET(E104,1,0,):OFFSET(E108,-1,0,)),IF($E$4="MEDIANA",MEDIAN(OFFSET(E104,1,0,):OFFSET(E108,-1,0,)),0)),0)</f>
        <v>930</v>
      </c>
    </row>
    <row r="105" spans="1:5" s="221" customFormat="1" x14ac:dyDescent="0.25">
      <c r="A105" s="199">
        <f ca="1">IFERROR(OFFSET(A105,-1,0)+1,1)</f>
        <v>1</v>
      </c>
      <c r="B105" s="200" t="s">
        <v>556</v>
      </c>
      <c r="C105" s="201" t="s">
        <v>128</v>
      </c>
      <c r="D105" s="202" t="s">
        <v>129</v>
      </c>
      <c r="E105" s="171">
        <v>929</v>
      </c>
    </row>
    <row r="106" spans="1:5" s="221" customFormat="1" x14ac:dyDescent="0.25">
      <c r="A106" s="199">
        <f ca="1">IFERROR(OFFSET(A106,-1,0)+1,1)</f>
        <v>2</v>
      </c>
      <c r="B106" s="279" t="s">
        <v>561</v>
      </c>
      <c r="C106" s="280" t="s">
        <v>128</v>
      </c>
      <c r="D106" s="281" t="s">
        <v>129</v>
      </c>
      <c r="E106" s="172">
        <v>1172.2</v>
      </c>
    </row>
    <row r="107" spans="1:5" s="221" customFormat="1" ht="15.75" thickBot="1" x14ac:dyDescent="0.3">
      <c r="A107" s="199">
        <f ca="1">IFERROR(OFFSET(A107,-1,0)+1,1)</f>
        <v>3</v>
      </c>
      <c r="B107" s="279" t="s">
        <v>558</v>
      </c>
      <c r="C107" s="280" t="s">
        <v>128</v>
      </c>
      <c r="D107" s="281" t="s">
        <v>129</v>
      </c>
      <c r="E107" s="172">
        <v>930</v>
      </c>
    </row>
    <row r="108" spans="1:5" s="221" customFormat="1" ht="15.75" thickBot="1" x14ac:dyDescent="0.3">
      <c r="A108" s="350" t="s">
        <v>130</v>
      </c>
      <c r="B108" s="351"/>
      <c r="C108" s="351"/>
      <c r="D108" s="351"/>
      <c r="E108" s="352"/>
    </row>
    <row r="109" spans="1:5" ht="15.75" thickBot="1" x14ac:dyDescent="0.3">
      <c r="A109" s="346"/>
      <c r="B109" s="347"/>
      <c r="C109" s="347"/>
      <c r="D109" s="347"/>
      <c r="E109" s="348"/>
    </row>
    <row r="110" spans="1:5" s="221" customFormat="1" ht="16.5" thickBot="1" x14ac:dyDescent="0.3">
      <c r="A110" s="194" t="s">
        <v>385</v>
      </c>
      <c r="B110" s="195" t="s">
        <v>560</v>
      </c>
      <c r="C110" s="196" t="s">
        <v>128</v>
      </c>
      <c r="D110" s="197"/>
      <c r="E110" s="198">
        <f ca="1">IFERROR(IF($E$4="MÉDIA",AVERAGE(OFFSET(E110,1,0,):OFFSET(E114,-1,0,)),IF($E$4="MEDIANA",MEDIAN(OFFSET(E110,1,0,):OFFSET(E114,-1,0,)),0)),0)</f>
        <v>500</v>
      </c>
    </row>
    <row r="111" spans="1:5" s="221" customFormat="1" x14ac:dyDescent="0.25">
      <c r="A111" s="199">
        <f ca="1">IFERROR(OFFSET(A111,-1,0)+1,1)</f>
        <v>1</v>
      </c>
      <c r="B111" s="200" t="s">
        <v>556</v>
      </c>
      <c r="C111" s="201" t="s">
        <v>128</v>
      </c>
      <c r="D111" s="202" t="s">
        <v>129</v>
      </c>
      <c r="E111" s="171">
        <v>509</v>
      </c>
    </row>
    <row r="112" spans="1:5" s="221" customFormat="1" x14ac:dyDescent="0.25">
      <c r="A112" s="199">
        <f ca="1">IFERROR(OFFSET(A112,-1,0)+1,1)</f>
        <v>2</v>
      </c>
      <c r="B112" s="279" t="s">
        <v>557</v>
      </c>
      <c r="C112" s="280" t="s">
        <v>128</v>
      </c>
      <c r="D112" s="281" t="s">
        <v>129</v>
      </c>
      <c r="E112" s="172">
        <v>423.2</v>
      </c>
    </row>
    <row r="113" spans="1:5" s="221" customFormat="1" ht="15.75" thickBot="1" x14ac:dyDescent="0.3">
      <c r="A113" s="199">
        <f ca="1">IFERROR(OFFSET(A113,-1,0)+1,1)</f>
        <v>3</v>
      </c>
      <c r="B113" s="279" t="s">
        <v>558</v>
      </c>
      <c r="C113" s="280" t="s">
        <v>128</v>
      </c>
      <c r="D113" s="281" t="s">
        <v>129</v>
      </c>
      <c r="E113" s="172">
        <v>500</v>
      </c>
    </row>
    <row r="114" spans="1:5" s="221" customFormat="1" ht="15.75" thickBot="1" x14ac:dyDescent="0.3">
      <c r="A114" s="350" t="s">
        <v>130</v>
      </c>
      <c r="B114" s="351"/>
      <c r="C114" s="351"/>
      <c r="D114" s="351"/>
      <c r="E114" s="352"/>
    </row>
    <row r="115" spans="1:5" ht="15.75" thickBot="1" x14ac:dyDescent="0.3">
      <c r="A115" s="346"/>
      <c r="B115" s="347"/>
      <c r="C115" s="347"/>
      <c r="D115" s="347"/>
      <c r="E115" s="348"/>
    </row>
    <row r="116" spans="1:5" s="221" customFormat="1" ht="16.5" thickBot="1" x14ac:dyDescent="0.3">
      <c r="A116" s="194" t="s">
        <v>387</v>
      </c>
      <c r="B116" s="377" t="s">
        <v>564</v>
      </c>
      <c r="C116" s="196" t="s">
        <v>128</v>
      </c>
      <c r="D116" s="197"/>
      <c r="E116" s="198">
        <f ca="1">IFERROR(IF($E$4="MÉDIA",AVERAGE(OFFSET(E116,1,0,):OFFSET(E120,-1,0,)),IF($E$4="MEDIANA",MEDIAN(OFFSET(E116,1,0,):OFFSET(E120,-1,0,)),0)),0)</f>
        <v>81.84</v>
      </c>
    </row>
    <row r="117" spans="1:5" s="221" customFormat="1" x14ac:dyDescent="0.25">
      <c r="A117" s="199">
        <f ca="1">IFERROR(OFFSET(A117,-1,0)+1,1)</f>
        <v>1</v>
      </c>
      <c r="B117" s="200" t="s">
        <v>566</v>
      </c>
      <c r="C117" s="201" t="s">
        <v>128</v>
      </c>
      <c r="D117" s="202" t="s">
        <v>129</v>
      </c>
      <c r="E117" s="171">
        <v>133.24</v>
      </c>
    </row>
    <row r="118" spans="1:5" s="221" customFormat="1" x14ac:dyDescent="0.25">
      <c r="A118" s="199">
        <f ca="1">IFERROR(OFFSET(A118,-1,0)+1,1)</f>
        <v>2</v>
      </c>
      <c r="B118" s="279" t="s">
        <v>558</v>
      </c>
      <c r="C118" s="280" t="s">
        <v>128</v>
      </c>
      <c r="D118" s="281" t="s">
        <v>129</v>
      </c>
      <c r="E118" s="172">
        <v>81.84</v>
      </c>
    </row>
    <row r="119" spans="1:5" s="221" customFormat="1" ht="15.75" thickBot="1" x14ac:dyDescent="0.3">
      <c r="A119" s="199">
        <f ca="1">IFERROR(OFFSET(A119,-1,0)+1,1)</f>
        <v>3</v>
      </c>
      <c r="B119" s="279" t="s">
        <v>563</v>
      </c>
      <c r="C119" s="280" t="s">
        <v>128</v>
      </c>
      <c r="D119" s="281" t="s">
        <v>129</v>
      </c>
      <c r="E119" s="172">
        <v>53.18</v>
      </c>
    </row>
    <row r="120" spans="1:5" s="221" customFormat="1" ht="15.75" thickBot="1" x14ac:dyDescent="0.3">
      <c r="A120" s="350" t="s">
        <v>130</v>
      </c>
      <c r="B120" s="351"/>
      <c r="C120" s="351"/>
      <c r="D120" s="351"/>
      <c r="E120" s="352"/>
    </row>
    <row r="121" spans="1:5" ht="15.75" thickBot="1" x14ac:dyDescent="0.3">
      <c r="A121" s="353"/>
      <c r="B121" s="354"/>
      <c r="C121" s="354"/>
      <c r="D121" s="354"/>
      <c r="E121" s="355"/>
    </row>
    <row r="122" spans="1:5" s="221" customFormat="1" ht="16.5" thickBot="1" x14ac:dyDescent="0.3">
      <c r="A122" s="194" t="s">
        <v>191</v>
      </c>
      <c r="B122" s="195" t="s">
        <v>565</v>
      </c>
      <c r="C122" s="196" t="s">
        <v>128</v>
      </c>
      <c r="D122" s="197"/>
      <c r="E122" s="198">
        <f ca="1">IFERROR(IF($E$4="MÉDIA",AVERAGE(OFFSET(E122,1,0,):OFFSET(E126,-1,0,)),IF($E$4="MEDIANA",MEDIAN(OFFSET(E122,1,0,):OFFSET(E126,-1,0,)),0)),0)</f>
        <v>30</v>
      </c>
    </row>
    <row r="123" spans="1:5" s="221" customFormat="1" x14ac:dyDescent="0.25">
      <c r="A123" s="199">
        <f ca="1">IFERROR(OFFSET(A123,-1,0)+1,1)</f>
        <v>1</v>
      </c>
      <c r="B123" s="200" t="s">
        <v>558</v>
      </c>
      <c r="C123" s="201" t="s">
        <v>128</v>
      </c>
      <c r="D123" s="202" t="s">
        <v>129</v>
      </c>
      <c r="E123" s="171">
        <v>29.95</v>
      </c>
    </row>
    <row r="124" spans="1:5" s="221" customFormat="1" x14ac:dyDescent="0.25">
      <c r="A124" s="199">
        <f ca="1">IFERROR(OFFSET(A124,-1,0)+1,1)</f>
        <v>2</v>
      </c>
      <c r="B124" s="279" t="s">
        <v>559</v>
      </c>
      <c r="C124" s="280" t="s">
        <v>128</v>
      </c>
      <c r="D124" s="281" t="s">
        <v>129</v>
      </c>
      <c r="E124" s="172">
        <v>35.15</v>
      </c>
    </row>
    <row r="125" spans="1:5" s="221" customFormat="1" ht="15.75" thickBot="1" x14ac:dyDescent="0.3">
      <c r="A125" s="199">
        <f ca="1">IFERROR(OFFSET(A125,-1,0)+1,1)</f>
        <v>3</v>
      </c>
      <c r="B125" s="279" t="s">
        <v>556</v>
      </c>
      <c r="C125" s="280" t="s">
        <v>128</v>
      </c>
      <c r="D125" s="281" t="s">
        <v>129</v>
      </c>
      <c r="E125" s="172">
        <v>30</v>
      </c>
    </row>
    <row r="126" spans="1:5" s="221" customFormat="1" ht="15.75" thickBot="1" x14ac:dyDescent="0.3">
      <c r="A126" s="350" t="s">
        <v>130</v>
      </c>
      <c r="B126" s="351"/>
      <c r="C126" s="351"/>
      <c r="D126" s="351"/>
      <c r="E126" s="352"/>
    </row>
    <row r="127" spans="1:5" ht="15.75" thickBot="1" x14ac:dyDescent="0.3">
      <c r="A127" s="353"/>
      <c r="B127" s="354"/>
      <c r="C127" s="354"/>
      <c r="D127" s="354"/>
      <c r="E127" s="355"/>
    </row>
    <row r="128" spans="1:5" s="221" customFormat="1" ht="16.5" thickBot="1" x14ac:dyDescent="0.3">
      <c r="A128" s="194" t="s">
        <v>192</v>
      </c>
      <c r="B128" s="195" t="s">
        <v>567</v>
      </c>
      <c r="C128" s="196" t="s">
        <v>128</v>
      </c>
      <c r="D128" s="197"/>
      <c r="E128" s="198">
        <f ca="1">IFERROR(IF($E$4="MÉDIA",AVERAGE(OFFSET(E128,1,0,):OFFSET(E132,-1,0,)),IF($E$4="MEDIANA",MEDIAN(OFFSET(E128,1,0,):OFFSET(E132,-1,0,)),0)),0)</f>
        <v>2054.04</v>
      </c>
    </row>
    <row r="129" spans="1:5" s="221" customFormat="1" x14ac:dyDescent="0.25">
      <c r="A129" s="199">
        <f ca="1">IFERROR(OFFSET(A129,-1,0)+1,1)</f>
        <v>1</v>
      </c>
      <c r="B129" s="200" t="s">
        <v>568</v>
      </c>
      <c r="C129" s="201" t="s">
        <v>128</v>
      </c>
      <c r="D129" s="202" t="s">
        <v>129</v>
      </c>
      <c r="E129" s="171">
        <f>2091</f>
        <v>2091</v>
      </c>
    </row>
    <row r="130" spans="1:5" s="221" customFormat="1" x14ac:dyDescent="0.25">
      <c r="A130" s="199">
        <f ca="1">IFERROR(OFFSET(A130,-1,0)+1,1)</f>
        <v>2</v>
      </c>
      <c r="B130" s="279" t="s">
        <v>569</v>
      </c>
      <c r="C130" s="280" t="s">
        <v>128</v>
      </c>
      <c r="D130" s="281" t="s">
        <v>129</v>
      </c>
      <c r="E130" s="172">
        <v>1804.07</v>
      </c>
    </row>
    <row r="131" spans="1:5" s="221" customFormat="1" ht="15.75" thickBot="1" x14ac:dyDescent="0.3">
      <c r="A131" s="199">
        <f ca="1">IFERROR(OFFSET(A131,-1,0)+1,1)</f>
        <v>3</v>
      </c>
      <c r="B131" s="279" t="s">
        <v>570</v>
      </c>
      <c r="C131" s="280" t="s">
        <v>128</v>
      </c>
      <c r="D131" s="281" t="s">
        <v>129</v>
      </c>
      <c r="E131" s="172">
        <v>2054.04</v>
      </c>
    </row>
    <row r="132" spans="1:5" s="221" customFormat="1" ht="15.75" thickBot="1" x14ac:dyDescent="0.3">
      <c r="A132" s="350" t="s">
        <v>130</v>
      </c>
      <c r="B132" s="351"/>
      <c r="C132" s="351"/>
      <c r="D132" s="351"/>
      <c r="E132" s="352"/>
    </row>
    <row r="133" spans="1:5" ht="15.75" thickBot="1" x14ac:dyDescent="0.3">
      <c r="A133" s="353"/>
      <c r="B133" s="347"/>
      <c r="C133" s="347"/>
      <c r="D133" s="347"/>
      <c r="E133" s="348"/>
    </row>
    <row r="134" spans="1:5" s="221" customFormat="1" ht="16.5" thickBot="1" x14ac:dyDescent="0.3">
      <c r="A134" s="194" t="s">
        <v>549</v>
      </c>
      <c r="B134" s="195" t="s">
        <v>607</v>
      </c>
      <c r="C134" s="196" t="s">
        <v>128</v>
      </c>
      <c r="D134" s="197"/>
      <c r="E134" s="198">
        <f ca="1">IFERROR(IF($E$4="MÉDIA",AVERAGE(OFFSET(E134,1,0,):OFFSET(E138,-1,0,)),IF($E$4="MEDIANA",MEDIAN(OFFSET(E134,1,0,):OFFSET(E138,-1,0,)),0)),0)</f>
        <v>468.99</v>
      </c>
    </row>
    <row r="135" spans="1:5" s="221" customFormat="1" x14ac:dyDescent="0.25">
      <c r="A135" s="199">
        <f ca="1">IFERROR(OFFSET(A135,-1,0)+1,1)</f>
        <v>1</v>
      </c>
      <c r="B135" s="200" t="s">
        <v>606</v>
      </c>
      <c r="C135" s="201" t="s">
        <v>128</v>
      </c>
      <c r="D135" s="202" t="s">
        <v>129</v>
      </c>
      <c r="E135" s="171">
        <v>468.99</v>
      </c>
    </row>
    <row r="136" spans="1:5" s="221" customFormat="1" x14ac:dyDescent="0.25">
      <c r="A136" s="199">
        <f ca="1">IFERROR(OFFSET(A136,-1,0)+1,1)</f>
        <v>2</v>
      </c>
      <c r="B136" s="279" t="s">
        <v>605</v>
      </c>
      <c r="C136" s="280" t="s">
        <v>128</v>
      </c>
      <c r="D136" s="281" t="s">
        <v>129</v>
      </c>
      <c r="E136" s="172">
        <v>468.99</v>
      </c>
    </row>
    <row r="137" spans="1:5" s="221" customFormat="1" ht="15.75" thickBot="1" x14ac:dyDescent="0.3">
      <c r="A137" s="199">
        <f ca="1">IFERROR(OFFSET(A137,-1,0)+1,1)</f>
        <v>3</v>
      </c>
      <c r="B137" s="279" t="s">
        <v>604</v>
      </c>
      <c r="C137" s="280" t="s">
        <v>128</v>
      </c>
      <c r="D137" s="281" t="s">
        <v>129</v>
      </c>
      <c r="E137" s="172">
        <v>562.4</v>
      </c>
    </row>
    <row r="138" spans="1:5" s="221" customFormat="1" ht="15.75" thickBot="1" x14ac:dyDescent="0.3">
      <c r="A138" s="350" t="s">
        <v>130</v>
      </c>
      <c r="B138" s="351"/>
      <c r="C138" s="351"/>
      <c r="D138" s="351"/>
      <c r="E138" s="352"/>
    </row>
    <row r="139" spans="1:5" ht="15.75" thickBot="1" x14ac:dyDescent="0.3">
      <c r="A139" s="353"/>
      <c r="B139" s="347"/>
      <c r="C139" s="347"/>
      <c r="D139" s="347"/>
      <c r="E139" s="348"/>
    </row>
    <row r="140" spans="1:5" s="221" customFormat="1" ht="16.5" thickBot="1" x14ac:dyDescent="0.3">
      <c r="A140" s="194" t="s">
        <v>550</v>
      </c>
      <c r="B140" s="195" t="s">
        <v>610</v>
      </c>
      <c r="C140" s="196" t="s">
        <v>156</v>
      </c>
      <c r="D140" s="197"/>
      <c r="E140" s="198">
        <f ca="1">IFERROR(IF($E$4="MÉDIA",AVERAGE(OFFSET(E140,1,0,):OFFSET(E144,-1,0,)),IF($E$4="MEDIANA",MEDIAN(OFFSET(E140,1,0,):OFFSET(E144,-1,0,)),0)),0)</f>
        <v>8.59</v>
      </c>
    </row>
    <row r="141" spans="1:5" s="221" customFormat="1" x14ac:dyDescent="0.25">
      <c r="A141" s="199">
        <f ca="1">IFERROR(OFFSET(A141,-1,0)+1,1)</f>
        <v>1</v>
      </c>
      <c r="B141" s="200" t="s">
        <v>277</v>
      </c>
      <c r="C141" s="201" t="s">
        <v>156</v>
      </c>
      <c r="D141" s="202" t="s">
        <v>129</v>
      </c>
      <c r="E141" s="171">
        <f>859/100</f>
        <v>8.59</v>
      </c>
    </row>
    <row r="142" spans="1:5" s="221" customFormat="1" x14ac:dyDescent="0.25">
      <c r="A142" s="199">
        <f ca="1">IFERROR(OFFSET(A142,-1,0)+1,1)</f>
        <v>2</v>
      </c>
      <c r="B142" s="279" t="s">
        <v>609</v>
      </c>
      <c r="C142" s="280" t="s">
        <v>156</v>
      </c>
      <c r="D142" s="281" t="s">
        <v>129</v>
      </c>
      <c r="E142" s="172">
        <v>10</v>
      </c>
    </row>
    <row r="143" spans="1:5" s="221" customFormat="1" ht="15.75" thickBot="1" x14ac:dyDescent="0.3">
      <c r="A143" s="199">
        <f ca="1">IFERROR(OFFSET(A143,-1,0)+1,1)</f>
        <v>3</v>
      </c>
      <c r="B143" s="279" t="s">
        <v>608</v>
      </c>
      <c r="C143" s="280" t="s">
        <v>156</v>
      </c>
      <c r="D143" s="281" t="s">
        <v>129</v>
      </c>
      <c r="E143" s="172">
        <v>7.24</v>
      </c>
    </row>
    <row r="144" spans="1:5" s="221" customFormat="1" ht="15.75" thickBot="1" x14ac:dyDescent="0.3">
      <c r="A144" s="350" t="s">
        <v>130</v>
      </c>
      <c r="B144" s="351"/>
      <c r="C144" s="351"/>
      <c r="D144" s="351"/>
      <c r="E144" s="352"/>
    </row>
    <row r="145" spans="1:5" ht="15.75" thickBot="1" x14ac:dyDescent="0.3">
      <c r="A145" s="353"/>
      <c r="B145" s="347"/>
      <c r="C145" s="347"/>
      <c r="D145" s="347"/>
      <c r="E145" s="348"/>
    </row>
    <row r="146" spans="1:5" s="221" customFormat="1" ht="16.5" thickBot="1" x14ac:dyDescent="0.3">
      <c r="A146" s="194" t="s">
        <v>551</v>
      </c>
      <c r="B146" s="195" t="s">
        <v>613</v>
      </c>
      <c r="C146" s="196" t="s">
        <v>128</v>
      </c>
      <c r="D146" s="197"/>
      <c r="E146" s="198">
        <f ca="1">IFERROR(IF($E$4="MÉDIA",AVERAGE(OFFSET(E146,1,0,):OFFSET(E150,-1,0,)),IF($E$4="MEDIANA",MEDIAN(OFFSET(E146,1,0,):OFFSET(E150,-1,0,)),0)),0)</f>
        <v>10.54</v>
      </c>
    </row>
    <row r="147" spans="1:5" s="221" customFormat="1" x14ac:dyDescent="0.25">
      <c r="A147" s="199">
        <f ca="1">IFERROR(OFFSET(A147,-1,0)+1,1)</f>
        <v>1</v>
      </c>
      <c r="B147" s="200" t="s">
        <v>612</v>
      </c>
      <c r="C147" s="201" t="s">
        <v>128</v>
      </c>
      <c r="D147" s="202" t="s">
        <v>129</v>
      </c>
      <c r="E147" s="171">
        <v>10.54</v>
      </c>
    </row>
    <row r="148" spans="1:5" s="221" customFormat="1" x14ac:dyDescent="0.25">
      <c r="A148" s="199">
        <f ca="1">IFERROR(OFFSET(A148,-1,0)+1,1)</f>
        <v>2</v>
      </c>
      <c r="B148" s="279" t="s">
        <v>605</v>
      </c>
      <c r="C148" s="280" t="s">
        <v>128</v>
      </c>
      <c r="D148" s="281" t="s">
        <v>129</v>
      </c>
      <c r="E148" s="172">
        <v>8.64</v>
      </c>
    </row>
    <row r="149" spans="1:5" s="221" customFormat="1" ht="15.75" thickBot="1" x14ac:dyDescent="0.3">
      <c r="A149" s="199">
        <f ca="1">IFERROR(OFFSET(A149,-1,0)+1,1)</f>
        <v>3</v>
      </c>
      <c r="B149" s="279" t="s">
        <v>611</v>
      </c>
      <c r="C149" s="280" t="s">
        <v>128</v>
      </c>
      <c r="D149" s="281" t="s">
        <v>129</v>
      </c>
      <c r="E149" s="172">
        <v>15</v>
      </c>
    </row>
    <row r="150" spans="1:5" s="221" customFormat="1" ht="15.75" thickBot="1" x14ac:dyDescent="0.3">
      <c r="A150" s="350" t="s">
        <v>130</v>
      </c>
      <c r="B150" s="351"/>
      <c r="C150" s="351"/>
      <c r="D150" s="351"/>
      <c r="E150" s="352"/>
    </row>
    <row r="151" spans="1:5" ht="15.75" thickBot="1" x14ac:dyDescent="0.3">
      <c r="A151" s="353"/>
      <c r="B151" s="354"/>
      <c r="C151" s="354"/>
      <c r="D151" s="354"/>
      <c r="E151" s="355"/>
    </row>
    <row r="152" spans="1:5" s="221" customFormat="1" ht="16.5" thickBot="1" x14ac:dyDescent="0.3">
      <c r="A152" s="194" t="s">
        <v>258</v>
      </c>
      <c r="B152" s="195" t="s">
        <v>710</v>
      </c>
      <c r="C152" s="196" t="s">
        <v>128</v>
      </c>
      <c r="D152" s="197"/>
      <c r="E152" s="198">
        <f ca="1">IFERROR(IF($E$4="MÉDIA",AVERAGE(OFFSET(E152,1,0,):OFFSET(E156,-1,0,)),IF($E$4="MEDIANA",MEDIAN(OFFSET(E152,1,0,):OFFSET(E156,-1,0,)),0)),0)</f>
        <v>5.7</v>
      </c>
    </row>
    <row r="153" spans="1:5" s="221" customFormat="1" x14ac:dyDescent="0.25">
      <c r="A153" s="199">
        <f ca="1">IFERROR(OFFSET(A153,-1,0)+1,1)</f>
        <v>1</v>
      </c>
      <c r="B153" s="200" t="s">
        <v>709</v>
      </c>
      <c r="C153" s="201" t="s">
        <v>128</v>
      </c>
      <c r="D153" s="202" t="s">
        <v>129</v>
      </c>
      <c r="E153" s="171">
        <f>5.7</f>
        <v>5.7</v>
      </c>
    </row>
    <row r="154" spans="1:5" s="221" customFormat="1" x14ac:dyDescent="0.25">
      <c r="A154" s="199">
        <f ca="1">IFERROR(OFFSET(A154,-1,0)+1,1)</f>
        <v>2</v>
      </c>
      <c r="B154" s="279" t="s">
        <v>277</v>
      </c>
      <c r="C154" s="280" t="s">
        <v>128</v>
      </c>
      <c r="D154" s="281" t="s">
        <v>129</v>
      </c>
      <c r="E154" s="172">
        <v>5.7</v>
      </c>
    </row>
    <row r="155" spans="1:5" s="221" customFormat="1" ht="15.75" thickBot="1" x14ac:dyDescent="0.3">
      <c r="A155" s="199">
        <f ca="1">IFERROR(OFFSET(A155,-1,0)+1,1)</f>
        <v>3</v>
      </c>
      <c r="B155" s="279"/>
      <c r="C155" s="280"/>
      <c r="D155" s="281"/>
      <c r="E155" s="172"/>
    </row>
    <row r="156" spans="1:5" s="221" customFormat="1" ht="15.75" thickBot="1" x14ac:dyDescent="0.3">
      <c r="A156" s="350" t="s">
        <v>130</v>
      </c>
      <c r="B156" s="351"/>
      <c r="C156" s="351"/>
      <c r="D156" s="351"/>
      <c r="E156" s="352"/>
    </row>
    <row r="157" spans="1:5" ht="15.75" thickBot="1" x14ac:dyDescent="0.3">
      <c r="A157" s="353"/>
      <c r="B157" s="354"/>
      <c r="C157" s="354"/>
      <c r="D157" s="354"/>
      <c r="E157" s="355"/>
    </row>
    <row r="158" spans="1:5" s="221" customFormat="1" ht="16.5" thickBot="1" x14ac:dyDescent="0.3">
      <c r="A158" s="194" t="s">
        <v>259</v>
      </c>
      <c r="B158" s="195" t="s">
        <v>437</v>
      </c>
      <c r="C158" s="196" t="s">
        <v>128</v>
      </c>
      <c r="D158" s="197"/>
      <c r="E158" s="198">
        <f ca="1">IFERROR(IF($E$4="MÉDIA",AVERAGE(OFFSET(E158,1,0,):OFFSET(E162,-1,0,)),IF($E$4="MEDIANA",MEDIAN(OFFSET(E158,1,0,):OFFSET(E162,-1,0,)),0)),0)</f>
        <v>6</v>
      </c>
    </row>
    <row r="159" spans="1:5" s="221" customFormat="1" x14ac:dyDescent="0.25">
      <c r="A159" s="199">
        <f ca="1">IFERROR(OFFSET(A159,-1,0)+1,1)</f>
        <v>1</v>
      </c>
      <c r="B159" s="200" t="s">
        <v>691</v>
      </c>
      <c r="C159" s="201" t="s">
        <v>128</v>
      </c>
      <c r="D159" s="202" t="s">
        <v>129</v>
      </c>
      <c r="E159" s="171">
        <v>7</v>
      </c>
    </row>
    <row r="160" spans="1:5" s="221" customFormat="1" x14ac:dyDescent="0.25">
      <c r="A160" s="199">
        <f ca="1">IFERROR(OFFSET(A160,-1,0)+1,1)</f>
        <v>2</v>
      </c>
      <c r="B160" s="279" t="s">
        <v>692</v>
      </c>
      <c r="C160" s="280" t="s">
        <v>128</v>
      </c>
      <c r="D160" s="281" t="s">
        <v>129</v>
      </c>
      <c r="E160" s="172">
        <v>6</v>
      </c>
    </row>
    <row r="161" spans="1:5" s="221" customFormat="1" ht="15.75" thickBot="1" x14ac:dyDescent="0.3">
      <c r="A161" s="199">
        <f ca="1">IFERROR(OFFSET(A161,-1,0)+1,1)</f>
        <v>3</v>
      </c>
      <c r="B161" s="279" t="s">
        <v>398</v>
      </c>
      <c r="C161" s="280" t="s">
        <v>128</v>
      </c>
      <c r="D161" s="281" t="s">
        <v>129</v>
      </c>
      <c r="E161" s="172">
        <f>75/15</f>
        <v>5</v>
      </c>
    </row>
    <row r="162" spans="1:5" s="221" customFormat="1" ht="15.75" thickBot="1" x14ac:dyDescent="0.3">
      <c r="A162" s="350" t="s">
        <v>130</v>
      </c>
      <c r="B162" s="351"/>
      <c r="C162" s="351"/>
      <c r="D162" s="351"/>
      <c r="E162" s="352"/>
    </row>
    <row r="163" spans="1:5" ht="15.75" thickBot="1" x14ac:dyDescent="0.3">
      <c r="A163" s="353"/>
      <c r="B163" s="354"/>
      <c r="C163" s="354"/>
      <c r="D163" s="354"/>
      <c r="E163" s="355"/>
    </row>
    <row r="164" spans="1:5" s="221" customFormat="1" ht="16.5" thickBot="1" x14ac:dyDescent="0.3">
      <c r="A164" s="194" t="s">
        <v>260</v>
      </c>
      <c r="B164" s="195" t="s">
        <v>694</v>
      </c>
      <c r="C164" s="196" t="s">
        <v>128</v>
      </c>
      <c r="D164" s="197"/>
      <c r="E164" s="198">
        <f ca="1">IFERROR(IF($E$4="MÉDIA",AVERAGE(OFFSET(E164,1,0,):OFFSET(E168,-1,0,)),IF($E$4="MEDIANA",MEDIAN(OFFSET(E164,1,0,):OFFSET(E168,-1,0,)),0)),0)</f>
        <v>2.96</v>
      </c>
    </row>
    <row r="165" spans="1:5" s="221" customFormat="1" x14ac:dyDescent="0.25">
      <c r="A165" s="199">
        <f ca="1">IFERROR(OFFSET(A165,-1,0)+1,1)</f>
        <v>1</v>
      </c>
      <c r="B165" s="200" t="s">
        <v>693</v>
      </c>
      <c r="C165" s="201" t="s">
        <v>128</v>
      </c>
      <c r="D165" s="202" t="s">
        <v>129</v>
      </c>
      <c r="E165" s="171">
        <v>2.96</v>
      </c>
    </row>
    <row r="166" spans="1:5" s="221" customFormat="1" x14ac:dyDescent="0.25">
      <c r="A166" s="199">
        <f ca="1">IFERROR(OFFSET(A166,-1,0)+1,1)</f>
        <v>2</v>
      </c>
      <c r="B166" s="279" t="s">
        <v>696</v>
      </c>
      <c r="C166" s="280" t="s">
        <v>128</v>
      </c>
      <c r="D166" s="281" t="s">
        <v>129</v>
      </c>
      <c r="E166" s="172">
        <v>2.9</v>
      </c>
    </row>
    <row r="167" spans="1:5" s="221" customFormat="1" ht="15.75" thickBot="1" x14ac:dyDescent="0.3">
      <c r="A167" s="199">
        <f ca="1">IFERROR(OFFSET(A167,-1,0)+1,1)</f>
        <v>3</v>
      </c>
      <c r="B167" s="279" t="s">
        <v>695</v>
      </c>
      <c r="C167" s="280" t="s">
        <v>128</v>
      </c>
      <c r="D167" s="281" t="s">
        <v>129</v>
      </c>
      <c r="E167" s="172">
        <v>2.96</v>
      </c>
    </row>
    <row r="168" spans="1:5" s="221" customFormat="1" ht="15.75" thickBot="1" x14ac:dyDescent="0.3">
      <c r="A168" s="350" t="s">
        <v>130</v>
      </c>
      <c r="B168" s="351"/>
      <c r="C168" s="351"/>
      <c r="D168" s="351"/>
      <c r="E168" s="352"/>
    </row>
    <row r="169" spans="1:5" ht="15.75" thickBot="1" x14ac:dyDescent="0.3">
      <c r="A169" s="353"/>
      <c r="B169" s="354"/>
      <c r="C169" s="354"/>
      <c r="D169" s="354"/>
      <c r="E169" s="355"/>
    </row>
    <row r="170" spans="1:5" s="221" customFormat="1" ht="16.5" thickBot="1" x14ac:dyDescent="0.3">
      <c r="A170" s="194" t="s">
        <v>262</v>
      </c>
      <c r="B170" s="195" t="s">
        <v>699</v>
      </c>
      <c r="C170" s="196" t="s">
        <v>421</v>
      </c>
      <c r="D170" s="197"/>
      <c r="E170" s="198">
        <f ca="1">IFERROR(IF($E$4="MÉDIA",AVERAGE(OFFSET(E170,1,0,):OFFSET(E174,-1,0,)),IF($E$4="MEDIANA",MEDIAN(OFFSET(E170,1,0,):OFFSET(E174,-1,0,)),0)),0)</f>
        <v>34.99</v>
      </c>
    </row>
    <row r="171" spans="1:5" s="221" customFormat="1" x14ac:dyDescent="0.25">
      <c r="A171" s="199">
        <f ca="1">IFERROR(OFFSET(A171,-1,0)+1,1)</f>
        <v>1</v>
      </c>
      <c r="B171" s="200" t="s">
        <v>398</v>
      </c>
      <c r="C171" s="201" t="s">
        <v>421</v>
      </c>
      <c r="D171" s="202" t="s">
        <v>129</v>
      </c>
      <c r="E171" s="171">
        <v>39.99</v>
      </c>
    </row>
    <row r="172" spans="1:5" s="221" customFormat="1" x14ac:dyDescent="0.25">
      <c r="A172" s="199">
        <f ca="1">IFERROR(OFFSET(A172,-1,0)+1,1)</f>
        <v>2</v>
      </c>
      <c r="B172" s="279" t="s">
        <v>133</v>
      </c>
      <c r="C172" s="280" t="s">
        <v>421</v>
      </c>
      <c r="D172" s="281" t="s">
        <v>129</v>
      </c>
      <c r="E172" s="172">
        <v>34.99</v>
      </c>
    </row>
    <row r="173" spans="1:5" s="221" customFormat="1" ht="15.75" thickBot="1" x14ac:dyDescent="0.3">
      <c r="A173" s="199">
        <f ca="1">IFERROR(OFFSET(A173,-1,0)+1,1)</f>
        <v>3</v>
      </c>
      <c r="B173" s="279" t="s">
        <v>277</v>
      </c>
      <c r="C173" s="280" t="s">
        <v>421</v>
      </c>
      <c r="D173" s="281" t="s">
        <v>129</v>
      </c>
      <c r="E173" s="172">
        <v>30</v>
      </c>
    </row>
    <row r="174" spans="1:5" s="221" customFormat="1" ht="15.75" thickBot="1" x14ac:dyDescent="0.3">
      <c r="A174" s="350" t="s">
        <v>130</v>
      </c>
      <c r="B174" s="351"/>
      <c r="C174" s="351"/>
      <c r="D174" s="351"/>
      <c r="E174" s="352"/>
    </row>
    <row r="175" spans="1:5" ht="15.75" thickBot="1" x14ac:dyDescent="0.3">
      <c r="A175" s="353"/>
      <c r="B175" s="354"/>
      <c r="C175" s="354"/>
      <c r="D175" s="354"/>
      <c r="E175" s="355"/>
    </row>
    <row r="176" spans="1:5" s="221" customFormat="1" ht="16.5" thickBot="1" x14ac:dyDescent="0.3">
      <c r="A176" s="194" t="s">
        <v>263</v>
      </c>
      <c r="B176" s="195" t="s">
        <v>715</v>
      </c>
      <c r="C176" s="196" t="s">
        <v>128</v>
      </c>
      <c r="D176" s="197"/>
      <c r="E176" s="198">
        <f ca="1">IFERROR(IF($E$4="MÉDIA",AVERAGE(OFFSET(E176,1,0,):OFFSET(E180,-1,0,)),IF($E$4="MEDIANA",MEDIAN(OFFSET(E176,1,0,):OFFSET(E180,-1,0,)),0)),0)</f>
        <v>6.4</v>
      </c>
    </row>
    <row r="177" spans="1:5" s="221" customFormat="1" x14ac:dyDescent="0.25">
      <c r="A177" s="199">
        <f ca="1">IFERROR(OFFSET(A177,-1,0)+1,1)</f>
        <v>1</v>
      </c>
      <c r="B177" s="200" t="s">
        <v>714</v>
      </c>
      <c r="C177" s="201" t="s">
        <v>128</v>
      </c>
      <c r="D177" s="202" t="s">
        <v>129</v>
      </c>
      <c r="E177" s="171">
        <v>6.4</v>
      </c>
    </row>
    <row r="178" spans="1:5" s="221" customFormat="1" x14ac:dyDescent="0.25">
      <c r="A178" s="199">
        <f ca="1">IFERROR(OFFSET(A178,-1,0)+1,1)</f>
        <v>2</v>
      </c>
      <c r="B178" s="279" t="s">
        <v>713</v>
      </c>
      <c r="C178" s="280" t="s">
        <v>128</v>
      </c>
      <c r="D178" s="281" t="s">
        <v>129</v>
      </c>
      <c r="E178" s="172">
        <f>608/100</f>
        <v>6.08</v>
      </c>
    </row>
    <row r="179" spans="1:5" s="221" customFormat="1" ht="15.75" thickBot="1" x14ac:dyDescent="0.3">
      <c r="A179" s="199">
        <f ca="1">IFERROR(OFFSET(A179,-1,0)+1,1)</f>
        <v>3</v>
      </c>
      <c r="B179" s="279" t="s">
        <v>712</v>
      </c>
      <c r="C179" s="280" t="s">
        <v>128</v>
      </c>
      <c r="D179" s="281" t="s">
        <v>129</v>
      </c>
      <c r="E179" s="172">
        <v>6.75</v>
      </c>
    </row>
    <row r="180" spans="1:5" s="221" customFormat="1" ht="15.75" thickBot="1" x14ac:dyDescent="0.3">
      <c r="A180" s="350" t="s">
        <v>130</v>
      </c>
      <c r="B180" s="351"/>
      <c r="C180" s="351"/>
      <c r="D180" s="351"/>
      <c r="E180" s="352"/>
    </row>
    <row r="181" spans="1:5" ht="15.75" thickBot="1" x14ac:dyDescent="0.3">
      <c r="A181" s="353"/>
      <c r="B181" s="354"/>
      <c r="C181" s="354"/>
      <c r="D181" s="354"/>
      <c r="E181" s="355"/>
    </row>
    <row r="182" spans="1:5" s="221" customFormat="1" ht="16.5" thickBot="1" x14ac:dyDescent="0.3">
      <c r="A182" s="194" t="s">
        <v>266</v>
      </c>
      <c r="B182" s="195" t="s">
        <v>724</v>
      </c>
      <c r="C182" s="196" t="s">
        <v>128</v>
      </c>
      <c r="D182" s="197"/>
      <c r="E182" s="198">
        <f ca="1">IFERROR(IF($E$4="MÉDIA",AVERAGE(OFFSET(E182,1,0,):OFFSET(E186,-1,0,)),IF($E$4="MEDIANA",MEDIAN(OFFSET(E182,1,0,):OFFSET(E186,-1,0,)),0)),0)</f>
        <v>99.9</v>
      </c>
    </row>
    <row r="183" spans="1:5" s="221" customFormat="1" x14ac:dyDescent="0.25">
      <c r="A183" s="199">
        <f ca="1">IFERROR(OFFSET(A183,-1,0)+1,1)</f>
        <v>1</v>
      </c>
      <c r="B183" s="200" t="s">
        <v>725</v>
      </c>
      <c r="C183" s="201" t="s">
        <v>128</v>
      </c>
      <c r="D183" s="202" t="s">
        <v>129</v>
      </c>
      <c r="E183" s="171">
        <v>99</v>
      </c>
    </row>
    <row r="184" spans="1:5" s="221" customFormat="1" x14ac:dyDescent="0.25">
      <c r="A184" s="199">
        <f ca="1">IFERROR(OFFSET(A184,-1,0)+1,1)</f>
        <v>2</v>
      </c>
      <c r="B184" s="279" t="s">
        <v>133</v>
      </c>
      <c r="C184" s="280" t="s">
        <v>128</v>
      </c>
      <c r="D184" s="281" t="s">
        <v>129</v>
      </c>
      <c r="E184" s="172">
        <v>99.9</v>
      </c>
    </row>
    <row r="185" spans="1:5" s="221" customFormat="1" ht="15.75" thickBot="1" x14ac:dyDescent="0.3">
      <c r="A185" s="199">
        <f ca="1">IFERROR(OFFSET(A185,-1,0)+1,1)</f>
        <v>3</v>
      </c>
      <c r="B185" s="279" t="s">
        <v>398</v>
      </c>
      <c r="C185" s="280" t="s">
        <v>128</v>
      </c>
      <c r="D185" s="281" t="s">
        <v>129</v>
      </c>
      <c r="E185" s="172">
        <v>149</v>
      </c>
    </row>
    <row r="186" spans="1:5" s="221" customFormat="1" ht="15.75" thickBot="1" x14ac:dyDescent="0.3">
      <c r="A186" s="350" t="s">
        <v>130</v>
      </c>
      <c r="B186" s="351"/>
      <c r="C186" s="351"/>
      <c r="D186" s="351"/>
      <c r="E186" s="352"/>
    </row>
    <row r="187" spans="1:5" ht="15.75" thickBot="1" x14ac:dyDescent="0.3">
      <c r="A187" s="353"/>
      <c r="B187" s="354"/>
      <c r="C187" s="354"/>
      <c r="D187" s="354"/>
      <c r="E187" s="355"/>
    </row>
    <row r="188" spans="1:5" s="221" customFormat="1" ht="16.5" thickBot="1" x14ac:dyDescent="0.3">
      <c r="A188" s="194" t="s">
        <v>267</v>
      </c>
      <c r="B188" s="195" t="s">
        <v>761</v>
      </c>
      <c r="C188" s="196" t="s">
        <v>128</v>
      </c>
      <c r="D188" s="197"/>
      <c r="E188" s="198">
        <f ca="1">IFERROR(IF($E$4="MÉDIA",AVERAGE(OFFSET(E188,1,0,):OFFSET(E192,-1,0,)),IF($E$4="MEDIANA",MEDIAN(OFFSET(E188,1,0,):OFFSET(E192,-1,0,)),0)),0)</f>
        <v>29.83</v>
      </c>
    </row>
    <row r="189" spans="1:5" s="221" customFormat="1" x14ac:dyDescent="0.25">
      <c r="A189" s="199">
        <f ca="1">IFERROR(OFFSET(A189,-1,0)+1,1)</f>
        <v>1</v>
      </c>
      <c r="B189" s="200" t="s">
        <v>762</v>
      </c>
      <c r="C189" s="201" t="s">
        <v>128</v>
      </c>
      <c r="D189" s="202" t="s">
        <v>129</v>
      </c>
      <c r="E189" s="171">
        <v>32.99</v>
      </c>
    </row>
    <row r="190" spans="1:5" s="221" customFormat="1" x14ac:dyDescent="0.25">
      <c r="A190" s="199">
        <f ca="1">IFERROR(OFFSET(A190,-1,0)+1,1)</f>
        <v>2</v>
      </c>
      <c r="B190" s="279" t="s">
        <v>763</v>
      </c>
      <c r="C190" s="280" t="s">
        <v>128</v>
      </c>
      <c r="D190" s="281" t="s">
        <v>129</v>
      </c>
      <c r="E190" s="172">
        <v>29.83</v>
      </c>
    </row>
    <row r="191" spans="1:5" s="221" customFormat="1" ht="15.75" thickBot="1" x14ac:dyDescent="0.3">
      <c r="A191" s="199">
        <f ca="1">IFERROR(OFFSET(A191,-1,0)+1,1)</f>
        <v>3</v>
      </c>
      <c r="B191" s="279" t="s">
        <v>764</v>
      </c>
      <c r="C191" s="280" t="s">
        <v>128</v>
      </c>
      <c r="D191" s="281" t="s">
        <v>129</v>
      </c>
      <c r="E191" s="172">
        <v>28.4</v>
      </c>
    </row>
    <row r="192" spans="1:5" s="221" customFormat="1" ht="15.75" thickBot="1" x14ac:dyDescent="0.3">
      <c r="A192" s="350" t="s">
        <v>130</v>
      </c>
      <c r="B192" s="351"/>
      <c r="C192" s="351"/>
      <c r="D192" s="351"/>
      <c r="E192" s="352"/>
    </row>
    <row r="193" spans="1:5" ht="15.75" thickBot="1" x14ac:dyDescent="0.3">
      <c r="A193" s="353"/>
      <c r="B193" s="354"/>
      <c r="C193" s="354"/>
      <c r="D193" s="354"/>
      <c r="E193" s="355"/>
    </row>
  </sheetData>
  <mergeCells count="1">
    <mergeCell ref="A1:E1"/>
  </mergeCells>
  <conditionalFormatting sqref="B4">
    <cfRule type="expression" dxfId="35" priority="1">
      <formula>B4=""</formula>
    </cfRule>
  </conditionalFormatting>
  <dataValidations count="1">
    <dataValidation type="list" allowBlank="1" showInputMessage="1" showErrorMessage="1" sqref="E4" xr:uid="{416719CA-708B-4BA6-B8B1-613428E2586C}">
      <formula1>#REF!</formula1>
    </dataValidation>
  </dataValidations>
  <pageMargins left="0.511811024" right="0.511811024" top="0.78740157499999996" bottom="0.78740157499999996" header="0.31496062000000002" footer="0.31496062000000002"/>
  <pageSetup paperSize="9" scale="55" orientation="portrait" r:id="rId1"/>
  <colBreaks count="1" manualBreakCount="1">
    <brk id="5" max="1048575" man="1"/>
  </colBreaks>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DDD6A2-8E09-4D06-9E12-CFDDA336EB03}">
  <dimension ref="A1:BD25"/>
  <sheetViews>
    <sheetView workbookViewId="0">
      <selection activeCell="AC5" sqref="AC5"/>
    </sheetView>
  </sheetViews>
  <sheetFormatPr defaultColWidth="9.140625" defaultRowHeight="15" x14ac:dyDescent="0.25"/>
  <cols>
    <col min="1" max="1" width="15.42578125" style="23" customWidth="1"/>
    <col min="2" max="2" width="9.140625" style="23"/>
    <col min="3" max="3" width="3.42578125" style="23" bestFit="1" customWidth="1"/>
    <col min="4" max="4" width="2.42578125" style="23" bestFit="1" customWidth="1"/>
    <col min="5" max="5" width="6.5703125" style="23" bestFit="1" customWidth="1"/>
    <col min="6" max="6" width="2" style="24" bestFit="1" customWidth="1"/>
    <col min="7" max="7" width="8.140625" style="24" customWidth="1"/>
    <col min="8" max="8" width="2" style="24" bestFit="1" customWidth="1"/>
    <col min="9" max="9" width="6.5703125" style="24" bestFit="1" customWidth="1"/>
    <col min="10" max="10" width="2" style="24" bestFit="1" customWidth="1"/>
    <col min="11" max="11" width="6.5703125" style="24" bestFit="1" customWidth="1"/>
    <col min="12" max="12" width="2.7109375" style="24" bestFit="1" customWidth="1"/>
    <col min="13" max="13" width="1.7109375" style="23" bestFit="1" customWidth="1"/>
    <col min="14" max="14" width="6.5703125" style="23" bestFit="1" customWidth="1"/>
    <col min="15" max="15" width="2" style="23" bestFit="1" customWidth="1"/>
    <col min="16" max="16" width="6.5703125" style="23" bestFit="1" customWidth="1"/>
    <col min="17" max="17" width="2.7109375" style="23" bestFit="1" customWidth="1"/>
    <col min="18" max="18" width="1.7109375" style="23" bestFit="1" customWidth="1"/>
    <col min="19" max="19" width="6.5703125" style="23" bestFit="1" customWidth="1"/>
    <col min="20" max="20" width="2" style="23" bestFit="1" customWidth="1"/>
    <col min="21" max="21" width="6.5703125" style="23" bestFit="1" customWidth="1"/>
    <col min="22" max="22" width="2.42578125" style="23" bestFit="1" customWidth="1"/>
    <col min="23" max="23" width="2.42578125" style="23" customWidth="1"/>
    <col min="24" max="24" width="2.7109375" style="23" bestFit="1" customWidth="1"/>
    <col min="25" max="25" width="2" style="23" bestFit="1" customWidth="1"/>
    <col min="26" max="26" width="7.140625" style="23" bestFit="1" customWidth="1"/>
    <col min="27" max="27" width="10" style="23" customWidth="1"/>
    <col min="28" max="28" width="2" style="23" hidden="1" customWidth="1"/>
    <col min="29" max="31" width="9.140625" style="23"/>
    <col min="32" max="32" width="96" style="23" hidden="1" customWidth="1"/>
    <col min="33" max="37" width="6.140625" style="23" hidden="1" customWidth="1"/>
    <col min="38" max="38" width="0" style="23" hidden="1" customWidth="1"/>
    <col min="39" max="39" width="96" style="23" hidden="1" customWidth="1"/>
    <col min="40" max="45" width="0" style="23" hidden="1" customWidth="1"/>
    <col min="46" max="46" width="96" style="23" hidden="1" customWidth="1"/>
    <col min="47" max="51" width="0" style="23" hidden="1" customWidth="1"/>
    <col min="52" max="16384" width="9.140625" style="23"/>
  </cols>
  <sheetData>
    <row r="1" spans="1:56" ht="57" customHeight="1" thickBot="1" x14ac:dyDescent="0.3">
      <c r="A1" s="494" t="s">
        <v>2</v>
      </c>
      <c r="B1" s="495"/>
      <c r="C1" s="495"/>
      <c r="D1" s="495"/>
      <c r="E1" s="495"/>
      <c r="F1" s="495"/>
      <c r="G1" s="495"/>
      <c r="H1" s="495"/>
      <c r="I1" s="495"/>
      <c r="J1" s="495"/>
      <c r="K1" s="495"/>
      <c r="L1" s="495"/>
      <c r="M1" s="495"/>
      <c r="N1" s="495"/>
      <c r="O1" s="495"/>
      <c r="P1" s="495"/>
      <c r="Q1" s="495"/>
      <c r="R1" s="495"/>
      <c r="S1" s="495"/>
      <c r="T1" s="495"/>
      <c r="U1" s="495"/>
      <c r="V1" s="495"/>
      <c r="W1" s="495"/>
      <c r="X1" s="495"/>
      <c r="Y1" s="495"/>
      <c r="Z1" s="495"/>
      <c r="AA1" s="496"/>
      <c r="AB1">
        <v>1</v>
      </c>
      <c r="AF1" s="23" t="s">
        <v>193</v>
      </c>
      <c r="AG1" s="34">
        <v>0.04</v>
      </c>
      <c r="AH1" s="35">
        <v>8.0000000000000002E-3</v>
      </c>
      <c r="AI1" s="35">
        <v>1.2699999999999999E-2</v>
      </c>
      <c r="AJ1" s="35">
        <v>1.23E-2</v>
      </c>
      <c r="AK1" s="35">
        <v>7.3999999999999996E-2</v>
      </c>
      <c r="AL1" s="35"/>
      <c r="AM1" s="23" t="s">
        <v>193</v>
      </c>
      <c r="AN1" s="35">
        <v>0.03</v>
      </c>
      <c r="AO1" s="35">
        <v>8.0000000000000002E-3</v>
      </c>
      <c r="AP1" s="35">
        <v>9.7000000000000003E-3</v>
      </c>
      <c r="AQ1" s="35">
        <v>5.8999999999999999E-3</v>
      </c>
      <c r="AR1" s="35">
        <v>6.1600000000000002E-2</v>
      </c>
      <c r="AS1" s="35"/>
      <c r="AT1" s="23" t="s">
        <v>193</v>
      </c>
      <c r="AU1" s="35">
        <v>5.5E-2</v>
      </c>
      <c r="AV1" s="35">
        <v>0.01</v>
      </c>
      <c r="AW1" s="35">
        <v>1.2699999999999999E-2</v>
      </c>
      <c r="AX1" s="35">
        <v>1.3899999999999999E-2</v>
      </c>
      <c r="AY1" s="35">
        <v>8.9599999999999999E-2</v>
      </c>
      <c r="AZ1" s="35"/>
      <c r="BA1" s="35"/>
      <c r="BB1" s="35"/>
      <c r="BC1" s="35"/>
      <c r="BD1" s="35"/>
    </row>
    <row r="2" spans="1:56" x14ac:dyDescent="0.25">
      <c r="A2" s="149" t="s">
        <v>117</v>
      </c>
      <c r="B2" s="135" t="s">
        <v>118</v>
      </c>
      <c r="C2" s="152"/>
      <c r="D2" s="152"/>
      <c r="E2" s="152"/>
      <c r="F2" s="152"/>
      <c r="G2" s="152"/>
      <c r="H2" s="152"/>
      <c r="I2" s="152"/>
      <c r="J2" s="152"/>
      <c r="K2" s="152"/>
      <c r="L2" s="152"/>
      <c r="M2" s="152"/>
      <c r="N2" s="152"/>
      <c r="O2" s="152"/>
      <c r="P2" s="152"/>
      <c r="Q2" s="152"/>
      <c r="R2" s="152"/>
      <c r="S2" s="497" t="str">
        <f>[2]Resumo!C2</f>
        <v>PLANILHA MODELO:</v>
      </c>
      <c r="T2" s="497"/>
      <c r="U2" s="497"/>
      <c r="V2" s="497"/>
      <c r="W2" s="497"/>
      <c r="X2" s="497"/>
      <c r="Y2" s="152"/>
      <c r="Z2" s="498" t="s">
        <v>555</v>
      </c>
      <c r="AA2" s="499"/>
      <c r="AB2"/>
      <c r="AF2" s="36" t="s">
        <v>194</v>
      </c>
      <c r="AG2" s="34">
        <v>4.0099999999999997E-2</v>
      </c>
      <c r="AH2" s="35">
        <v>4.0000000000000001E-3</v>
      </c>
      <c r="AI2" s="35">
        <v>5.5999999999999999E-3</v>
      </c>
      <c r="AJ2" s="35">
        <v>1.11E-2</v>
      </c>
      <c r="AK2" s="35">
        <v>7.2999999999999995E-2</v>
      </c>
      <c r="AL2" s="35"/>
      <c r="AM2" s="36" t="s">
        <v>194</v>
      </c>
      <c r="AN2" s="35">
        <v>3.7999999999999999E-2</v>
      </c>
      <c r="AO2" s="35">
        <v>3.2000000000000002E-3</v>
      </c>
      <c r="AP2" s="35">
        <v>5.0000000000000001E-3</v>
      </c>
      <c r="AQ2" s="35">
        <v>1.0200000000000001E-2</v>
      </c>
      <c r="AR2" s="35">
        <v>6.6400000000000001E-2</v>
      </c>
      <c r="AS2" s="35"/>
      <c r="AT2" s="36" t="s">
        <v>194</v>
      </c>
      <c r="AU2" s="35">
        <v>4.6699999999999998E-2</v>
      </c>
      <c r="AV2" s="35">
        <v>7.4000000000000003E-3</v>
      </c>
      <c r="AW2" s="35">
        <v>9.7000000000000003E-3</v>
      </c>
      <c r="AX2" s="35">
        <v>1.21E-2</v>
      </c>
      <c r="AY2" s="35">
        <v>8.6900000000000005E-2</v>
      </c>
      <c r="AZ2" s="35"/>
      <c r="BA2" s="35"/>
      <c r="BB2" s="35"/>
      <c r="BC2" s="35"/>
      <c r="BD2" s="35"/>
    </row>
    <row r="3" spans="1:56" x14ac:dyDescent="0.25">
      <c r="A3" s="31" t="s">
        <v>120</v>
      </c>
      <c r="B3" s="129" t="s">
        <v>121</v>
      </c>
      <c r="C3" s="150"/>
      <c r="D3" s="150"/>
      <c r="E3" s="150"/>
      <c r="F3" s="150"/>
      <c r="G3" s="150"/>
      <c r="H3" s="150"/>
      <c r="I3" s="150"/>
      <c r="J3" s="150"/>
      <c r="K3" s="150"/>
      <c r="L3" s="150"/>
      <c r="M3" s="150"/>
      <c r="N3" s="150"/>
      <c r="O3" s="150"/>
      <c r="P3" s="150"/>
      <c r="Q3" s="150"/>
      <c r="R3" s="150"/>
      <c r="S3" s="500" t="str">
        <f>[2]Resumo!C3</f>
        <v>NÃO DESONERADA</v>
      </c>
      <c r="T3" s="500"/>
      <c r="U3" s="500"/>
      <c r="V3" s="500"/>
      <c r="W3" s="500"/>
      <c r="X3" s="500"/>
      <c r="Y3" s="150"/>
      <c r="Z3" s="501" t="s">
        <v>727</v>
      </c>
      <c r="AA3" s="502"/>
      <c r="AB3"/>
      <c r="AF3" s="23" t="s">
        <v>195</v>
      </c>
      <c r="AG3" s="34">
        <v>4.9299999999999997E-2</v>
      </c>
      <c r="AH3" s="35">
        <v>4.8999999999999998E-3</v>
      </c>
      <c r="AI3" s="35">
        <v>1.3899999999999999E-2</v>
      </c>
      <c r="AJ3" s="35">
        <v>9.9000000000000008E-3</v>
      </c>
      <c r="AK3" s="35">
        <v>8.0399999999999999E-2</v>
      </c>
      <c r="AL3" s="35"/>
      <c r="AM3" s="23" t="s">
        <v>195</v>
      </c>
      <c r="AN3" s="35">
        <v>3.4299999999999997E-2</v>
      </c>
      <c r="AO3" s="35">
        <v>2.8E-3</v>
      </c>
      <c r="AP3" s="35">
        <v>0.01</v>
      </c>
      <c r="AQ3" s="35">
        <v>9.4000000000000004E-3</v>
      </c>
      <c r="AR3" s="35">
        <v>6.7400000000000002E-2</v>
      </c>
      <c r="AS3" s="35"/>
      <c r="AT3" s="23" t="s">
        <v>195</v>
      </c>
      <c r="AU3" s="35">
        <v>6.7100000000000007E-2</v>
      </c>
      <c r="AV3" s="35">
        <v>7.4999999999999997E-3</v>
      </c>
      <c r="AW3" s="35">
        <v>1.7399999999999999E-2</v>
      </c>
      <c r="AX3" s="35">
        <v>1.17E-2</v>
      </c>
      <c r="AY3" s="35">
        <v>9.4E-2</v>
      </c>
      <c r="AZ3" s="35"/>
      <c r="BA3" s="35"/>
      <c r="BB3" s="35"/>
      <c r="BC3" s="35"/>
      <c r="BD3" s="35"/>
    </row>
    <row r="4" spans="1:56" ht="15.75" thickBot="1" x14ac:dyDescent="0.3">
      <c r="A4" s="32" t="s">
        <v>122</v>
      </c>
      <c r="B4" s="133" t="s">
        <v>635</v>
      </c>
      <c r="C4" s="151"/>
      <c r="D4" s="151"/>
      <c r="E4" s="151"/>
      <c r="F4" s="151"/>
      <c r="G4" s="151"/>
      <c r="H4" s="151"/>
      <c r="I4" s="151"/>
      <c r="J4" s="151"/>
      <c r="K4" s="151"/>
      <c r="L4" s="151"/>
      <c r="M4" s="151"/>
      <c r="N4" s="151"/>
      <c r="O4" s="151"/>
      <c r="P4" s="151"/>
      <c r="Q4" s="151"/>
      <c r="R4" s="151"/>
      <c r="S4" s="491" t="s">
        <v>196</v>
      </c>
      <c r="T4" s="491"/>
      <c r="U4" s="491"/>
      <c r="V4" s="491"/>
      <c r="W4" s="491"/>
      <c r="X4" s="491"/>
      <c r="Y4" s="151"/>
      <c r="Z4" s="492"/>
      <c r="AA4" s="493"/>
      <c r="AB4"/>
      <c r="AF4" s="36" t="s">
        <v>197</v>
      </c>
      <c r="AG4" s="34">
        <v>5.9200000000000003E-2</v>
      </c>
      <c r="AH4" s="35">
        <v>5.1000000000000004E-3</v>
      </c>
      <c r="AI4" s="35">
        <v>1.4800000000000001E-2</v>
      </c>
      <c r="AJ4" s="35">
        <v>1.0699999999999999E-2</v>
      </c>
      <c r="AK4" s="35">
        <v>8.3099999999999993E-2</v>
      </c>
      <c r="AL4" s="35"/>
      <c r="AM4" s="36" t="s">
        <v>197</v>
      </c>
      <c r="AN4" s="35">
        <v>5.2900000000000003E-2</v>
      </c>
      <c r="AO4" s="35">
        <v>2.5000000000000001E-3</v>
      </c>
      <c r="AP4" s="35">
        <v>0.01</v>
      </c>
      <c r="AQ4" s="35">
        <v>1.01E-2</v>
      </c>
      <c r="AR4" s="35">
        <v>0.08</v>
      </c>
      <c r="AS4" s="35"/>
      <c r="AT4" s="36" t="s">
        <v>197</v>
      </c>
      <c r="AU4" s="35">
        <v>7.9299999999999995E-2</v>
      </c>
      <c r="AV4" s="35">
        <v>5.5999999999999999E-3</v>
      </c>
      <c r="AW4" s="35">
        <v>1.9699999999999999E-2</v>
      </c>
      <c r="AX4" s="35">
        <v>1.11E-2</v>
      </c>
      <c r="AY4" s="35">
        <v>9.5100000000000004E-2</v>
      </c>
      <c r="AZ4" s="35"/>
      <c r="BA4" s="35"/>
      <c r="BB4" s="35"/>
      <c r="BC4" s="35"/>
      <c r="BD4" s="35"/>
    </row>
    <row r="5" spans="1:56" ht="15.75" thickBot="1" x14ac:dyDescent="0.3">
      <c r="A5" s="503" t="s">
        <v>193</v>
      </c>
      <c r="B5" s="504"/>
      <c r="C5" s="504"/>
      <c r="D5" s="504"/>
      <c r="E5" s="504"/>
      <c r="F5" s="504"/>
      <c r="G5" s="504"/>
      <c r="H5" s="504"/>
      <c r="I5" s="504"/>
      <c r="J5" s="504"/>
      <c r="K5" s="504"/>
      <c r="L5" s="504"/>
      <c r="M5" s="504"/>
      <c r="N5" s="504"/>
      <c r="O5" s="504"/>
      <c r="P5" s="504"/>
      <c r="Q5" s="504"/>
      <c r="R5" s="504"/>
      <c r="S5" s="504"/>
      <c r="T5" s="504"/>
      <c r="U5" s="504"/>
      <c r="V5" s="504"/>
      <c r="W5" s="504"/>
      <c r="X5" s="504"/>
      <c r="Y5" s="504"/>
      <c r="Z5" s="504"/>
      <c r="AA5" s="505"/>
      <c r="AB5"/>
      <c r="AF5" s="36" t="s">
        <v>198</v>
      </c>
      <c r="AG5" s="34">
        <v>5.5199999999999999E-2</v>
      </c>
      <c r="AH5" s="35">
        <v>1.2200000000000001E-2</v>
      </c>
      <c r="AI5" s="35">
        <v>2.3199999999999998E-2</v>
      </c>
      <c r="AJ5" s="35">
        <v>1.0200000000000001E-2</v>
      </c>
      <c r="AK5" s="35">
        <v>8.4000000000000005E-2</v>
      </c>
      <c r="AL5" s="35"/>
      <c r="AM5" s="36" t="s">
        <v>198</v>
      </c>
      <c r="AN5" s="35">
        <v>0.04</v>
      </c>
      <c r="AO5" s="35">
        <v>8.0999999999999996E-3</v>
      </c>
      <c r="AP5" s="35">
        <v>1.46E-2</v>
      </c>
      <c r="AQ5" s="35">
        <v>9.4000000000000004E-3</v>
      </c>
      <c r="AR5" s="35">
        <v>7.1400000000000005E-2</v>
      </c>
      <c r="AS5" s="35"/>
      <c r="AT5" s="36" t="s">
        <v>198</v>
      </c>
      <c r="AU5" s="35">
        <v>7.85E-2</v>
      </c>
      <c r="AV5" s="35">
        <v>1.9900000000000001E-2</v>
      </c>
      <c r="AW5" s="35">
        <v>3.1600000000000003E-2</v>
      </c>
      <c r="AX5" s="35">
        <v>1.3299999999999999E-2</v>
      </c>
      <c r="AY5" s="35">
        <v>0.1043</v>
      </c>
      <c r="AZ5" s="35"/>
      <c r="BA5" s="35"/>
      <c r="BB5" s="35"/>
      <c r="BC5" s="35"/>
      <c r="BD5" s="35"/>
    </row>
    <row r="6" spans="1:56" x14ac:dyDescent="0.25">
      <c r="A6" s="37"/>
      <c r="B6" s="38"/>
      <c r="C6" s="38"/>
      <c r="D6" s="38"/>
      <c r="E6" s="38"/>
      <c r="F6" s="39"/>
      <c r="G6" s="39"/>
      <c r="H6" s="39"/>
      <c r="I6" s="39"/>
      <c r="J6" s="39"/>
      <c r="K6" s="39"/>
      <c r="L6" s="39"/>
      <c r="M6" s="38"/>
      <c r="N6" s="38"/>
      <c r="O6" s="38"/>
      <c r="P6" s="38"/>
      <c r="Q6" s="38"/>
      <c r="R6" s="38"/>
      <c r="S6" s="38"/>
      <c r="T6" s="38"/>
      <c r="U6" s="38"/>
      <c r="V6" s="38"/>
      <c r="W6" s="38"/>
      <c r="X6" s="38"/>
      <c r="Y6" s="38"/>
      <c r="Z6" s="38"/>
      <c r="AA6" s="40"/>
      <c r="AB6"/>
      <c r="AF6" s="23" t="s">
        <v>199</v>
      </c>
      <c r="AG6" s="35">
        <v>4.9299999999999997E-2</v>
      </c>
      <c r="AH6" s="35">
        <v>4.8999999999999998E-3</v>
      </c>
      <c r="AI6" s="35">
        <v>1.3899999999999999E-2</v>
      </c>
      <c r="AJ6" s="35">
        <v>9.9000000000000008E-3</v>
      </c>
      <c r="AK6" s="35">
        <v>8.0399999999999999E-2</v>
      </c>
      <c r="AM6" s="23" t="s">
        <v>199</v>
      </c>
      <c r="AN6" s="35">
        <v>4.9299999999999997E-2</v>
      </c>
      <c r="AO6" s="35">
        <v>4.8999999999999998E-3</v>
      </c>
      <c r="AP6" s="35">
        <v>1.3899999999999999E-2</v>
      </c>
      <c r="AQ6" s="35">
        <v>9.9000000000000008E-3</v>
      </c>
      <c r="AR6" s="35">
        <v>8.0399999999999999E-2</v>
      </c>
      <c r="AT6" s="23" t="s">
        <v>199</v>
      </c>
      <c r="AU6" s="35">
        <v>4.9299999999999997E-2</v>
      </c>
      <c r="AV6" s="35">
        <v>4.8999999999999998E-3</v>
      </c>
      <c r="AW6" s="35">
        <v>1.3899999999999999E-2</v>
      </c>
      <c r="AX6" s="35">
        <v>9.9000000000000008E-3</v>
      </c>
      <c r="AY6" s="35">
        <v>8.0399999999999999E-2</v>
      </c>
    </row>
    <row r="7" spans="1:56" x14ac:dyDescent="0.25">
      <c r="A7" s="41" t="s">
        <v>200</v>
      </c>
      <c r="B7" s="42" t="s">
        <v>201</v>
      </c>
      <c r="C7" s="43"/>
      <c r="D7" s="44"/>
      <c r="E7" s="44"/>
      <c r="F7" s="45"/>
      <c r="G7" s="46">
        <f>IF($S$4="QUARTIL MÉDIO",VLOOKUP($A$5,$AF$1:$AK$6,2,0),IF($S$4="PRIMEIRO QUARTIL",VLOOKUP($A$5,$AM$1:$AR$6,2,0),IF($S$4="TERCEIRO QUARTIL",VLOOKUP($A$5,$AT$1:$AY$6,2,0))))</f>
        <v>0.03</v>
      </c>
      <c r="H7" s="45"/>
      <c r="I7" s="45"/>
      <c r="J7" s="45"/>
      <c r="K7" s="44"/>
      <c r="L7" s="45"/>
      <c r="M7" s="44"/>
      <c r="N7" s="44"/>
      <c r="O7" s="44"/>
      <c r="P7" s="44"/>
      <c r="Q7" s="44"/>
      <c r="R7" s="44"/>
      <c r="S7" s="44"/>
      <c r="T7" s="44"/>
      <c r="U7" s="44"/>
      <c r="V7" s="44"/>
      <c r="W7" s="44"/>
      <c r="X7" s="44"/>
      <c r="Y7" s="44"/>
      <c r="Z7" s="44"/>
      <c r="AA7" s="47"/>
      <c r="AB7"/>
    </row>
    <row r="8" spans="1:56" ht="18.75" customHeight="1" x14ac:dyDescent="0.25">
      <c r="A8" s="41" t="s">
        <v>202</v>
      </c>
      <c r="B8" s="42" t="s">
        <v>203</v>
      </c>
      <c r="C8" s="43"/>
      <c r="D8" s="44"/>
      <c r="E8" s="44"/>
      <c r="F8" s="45"/>
      <c r="G8" s="46">
        <f>IF($S$4="QUARTIL MÉDIO",VLOOKUP($A$5,$AF$1:$AK$6,3,0),IF($S$4="PRIMEIRO QUARTIL",VLOOKUP($A$5,$AM$1:$AR$6,3,0),IF($S$4="TERCEIRO QUARTIL",VLOOKUP($A$5,$AT$1:$AY$6,3,0))))</f>
        <v>8.0000000000000002E-3</v>
      </c>
      <c r="H8" s="45"/>
      <c r="I8" s="45"/>
      <c r="J8" s="45"/>
      <c r="K8" s="44"/>
      <c r="L8" s="45"/>
      <c r="M8" s="44"/>
      <c r="N8" s="44"/>
      <c r="O8" s="44"/>
      <c r="P8" s="44"/>
      <c r="Q8" s="44"/>
      <c r="R8" s="44"/>
      <c r="S8" s="44"/>
      <c r="T8" s="44"/>
      <c r="U8" s="44"/>
      <c r="V8" s="44"/>
      <c r="W8" s="44"/>
      <c r="X8" s="44"/>
      <c r="Y8" s="44"/>
      <c r="Z8" s="44"/>
      <c r="AA8" s="47"/>
      <c r="AB8"/>
      <c r="AG8" s="23" t="s">
        <v>204</v>
      </c>
      <c r="AN8" s="23" t="s">
        <v>205</v>
      </c>
      <c r="AU8" s="23" t="s">
        <v>206</v>
      </c>
    </row>
    <row r="9" spans="1:56" ht="18.75" customHeight="1" x14ac:dyDescent="0.25">
      <c r="A9" s="41" t="s">
        <v>207</v>
      </c>
      <c r="B9" s="42" t="s">
        <v>208</v>
      </c>
      <c r="C9" s="43"/>
      <c r="D9" s="44"/>
      <c r="E9" s="44"/>
      <c r="F9" s="45"/>
      <c r="G9" s="46">
        <f>IF($S$4="QUARTIL MÉDIO",VLOOKUP($A$5,$AF$1:$AK$6,4,0),IF($S$4="PRIMEIRO QUARTIL",VLOOKUP($A$5,$AM$1:$AR$6,4,0),IF($S$4="TERCEIRO QUARTIL",VLOOKUP($A$5,$AT$1:$AY$6,4,0))))</f>
        <v>9.7000000000000003E-3</v>
      </c>
      <c r="H9" s="45"/>
      <c r="I9" s="45"/>
      <c r="J9" s="45"/>
      <c r="K9" s="44"/>
      <c r="L9" s="45"/>
      <c r="M9" s="44"/>
      <c r="N9" s="44"/>
      <c r="O9" s="44"/>
      <c r="P9" s="44"/>
      <c r="Q9" s="44"/>
      <c r="R9" s="44"/>
      <c r="S9" s="44"/>
      <c r="T9" s="44"/>
      <c r="U9" s="44"/>
      <c r="V9" s="44"/>
      <c r="W9" s="44"/>
      <c r="X9" s="44"/>
      <c r="Y9" s="44"/>
      <c r="Z9" s="44"/>
      <c r="AA9" s="47"/>
      <c r="AB9"/>
      <c r="AG9" s="23" t="s">
        <v>209</v>
      </c>
      <c r="AH9" s="23" t="s">
        <v>210</v>
      </c>
      <c r="AI9" s="23" t="s">
        <v>211</v>
      </c>
      <c r="AJ9" s="23" t="s">
        <v>212</v>
      </c>
      <c r="AK9" s="23" t="s">
        <v>213</v>
      </c>
      <c r="AN9" s="23" t="s">
        <v>209</v>
      </c>
      <c r="AO9" s="23" t="s">
        <v>210</v>
      </c>
      <c r="AP9" s="23" t="s">
        <v>211</v>
      </c>
      <c r="AQ9" s="23" t="s">
        <v>212</v>
      </c>
      <c r="AR9" s="23" t="s">
        <v>213</v>
      </c>
      <c r="AU9" s="23" t="s">
        <v>209</v>
      </c>
      <c r="AV9" s="23" t="s">
        <v>210</v>
      </c>
      <c r="AW9" s="23" t="s">
        <v>211</v>
      </c>
      <c r="AX9" s="23" t="s">
        <v>212</v>
      </c>
      <c r="AY9" s="23" t="s">
        <v>213</v>
      </c>
    </row>
    <row r="10" spans="1:56" ht="18.75" customHeight="1" x14ac:dyDescent="0.25">
      <c r="A10" s="41" t="s">
        <v>214</v>
      </c>
      <c r="B10" s="42" t="s">
        <v>215</v>
      </c>
      <c r="C10" s="43"/>
      <c r="D10" s="44"/>
      <c r="E10" s="44"/>
      <c r="F10" s="45"/>
      <c r="G10" s="46">
        <f>IF($S$4="QUARTIL MÉDIO",VLOOKUP($A$5,$AF$1:$AK$6,5,0),IF($S$4="PRIMEIRO QUARTIL",VLOOKUP($A$5,$AM$1:$AR$6,5,0),IF($S$4="TERCEIRO QUARTIL",VLOOKUP($A$5,$AT$1:$AY$6,5,0))))</f>
        <v>5.8999999999999999E-3</v>
      </c>
      <c r="H10" s="45"/>
      <c r="I10" s="45"/>
      <c r="J10" s="45"/>
      <c r="K10" s="44"/>
      <c r="L10" s="45"/>
      <c r="M10" s="44"/>
      <c r="N10" s="44"/>
      <c r="O10" s="44"/>
      <c r="P10" s="44"/>
      <c r="Q10" s="44"/>
      <c r="R10" s="44"/>
      <c r="S10" s="44"/>
      <c r="T10" s="44"/>
      <c r="U10" s="44"/>
      <c r="V10" s="44"/>
      <c r="W10" s="44"/>
      <c r="X10" s="44"/>
      <c r="Y10" s="44"/>
      <c r="Z10" s="44"/>
      <c r="AA10" s="47"/>
      <c r="AB10"/>
    </row>
    <row r="11" spans="1:56" ht="18.75" customHeight="1" x14ac:dyDescent="0.25">
      <c r="A11" s="41" t="s">
        <v>216</v>
      </c>
      <c r="B11" s="42" t="s">
        <v>217</v>
      </c>
      <c r="C11" s="43"/>
      <c r="D11" s="44"/>
      <c r="E11" s="44"/>
      <c r="F11" s="45"/>
      <c r="G11" s="46">
        <f>IF($S$4="QUARTIL MÉDIO",VLOOKUP($A$5,$AF$1:$AK$6,6,0),IF($S$4="PRIMEIRO QUARTIL",VLOOKUP($A$5,$AM$1:$AR$6,6,0),IF($S$4="TERCEIRO QUARTIL",VLOOKUP($A$5,$AT$1:$AY$6,6,0))))</f>
        <v>6.1600000000000002E-2</v>
      </c>
      <c r="H11" s="45"/>
      <c r="I11" s="45"/>
      <c r="J11" s="45"/>
      <c r="K11" s="44"/>
      <c r="L11" s="45"/>
      <c r="M11" s="44"/>
      <c r="N11" s="44"/>
      <c r="O11" s="44"/>
      <c r="P11" s="44"/>
      <c r="Q11" s="44"/>
      <c r="R11" s="44"/>
      <c r="S11" s="44"/>
      <c r="T11" s="44"/>
      <c r="U11" s="44"/>
      <c r="V11" s="44"/>
      <c r="W11" s="44"/>
      <c r="X11" s="44"/>
      <c r="Y11" s="44"/>
      <c r="Z11" s="44"/>
      <c r="AA11" s="47"/>
      <c r="AB11"/>
      <c r="AK11" s="35"/>
    </row>
    <row r="12" spans="1:56" ht="18.75" customHeight="1" x14ac:dyDescent="0.25">
      <c r="A12" s="41" t="s">
        <v>218</v>
      </c>
      <c r="B12" s="42" t="s">
        <v>219</v>
      </c>
      <c r="C12" s="43"/>
      <c r="D12" s="44"/>
      <c r="E12" s="44"/>
      <c r="F12" s="45"/>
      <c r="G12" s="46">
        <f>SUM(G13:G16)</f>
        <v>8.6499999999999994E-2</v>
      </c>
      <c r="H12" s="45"/>
      <c r="I12" s="45"/>
      <c r="J12" s="45"/>
      <c r="K12" s="44"/>
      <c r="L12" s="45"/>
      <c r="M12" s="44"/>
      <c r="N12" s="44"/>
      <c r="O12" s="44"/>
      <c r="P12" s="44"/>
      <c r="Q12" s="44"/>
      <c r="R12" s="44"/>
      <c r="S12" s="44"/>
      <c r="T12" s="44"/>
      <c r="U12" s="44"/>
      <c r="V12" s="44"/>
      <c r="W12" s="44"/>
      <c r="X12" s="44"/>
      <c r="Y12" s="44"/>
      <c r="Z12" s="44"/>
      <c r="AA12" s="47"/>
      <c r="AB12"/>
      <c r="AK12" s="35"/>
    </row>
    <row r="13" spans="1:56" x14ac:dyDescent="0.25">
      <c r="A13" s="48"/>
      <c r="B13" s="49"/>
      <c r="C13" s="50"/>
      <c r="D13" s="49"/>
      <c r="E13" s="49" t="s">
        <v>220</v>
      </c>
      <c r="F13" s="51"/>
      <c r="G13" s="52">
        <v>0.03</v>
      </c>
      <c r="H13" s="51"/>
      <c r="I13" s="51"/>
      <c r="J13" s="51"/>
      <c r="K13" s="49"/>
      <c r="L13" s="51"/>
      <c r="M13" s="49"/>
      <c r="N13" s="49"/>
      <c r="O13" s="49"/>
      <c r="P13" s="49"/>
      <c r="Q13" s="49"/>
      <c r="R13" s="49"/>
      <c r="S13" s="49"/>
      <c r="T13" s="49"/>
      <c r="U13" s="49"/>
      <c r="V13" s="49"/>
      <c r="W13" s="49"/>
      <c r="X13" s="49"/>
      <c r="Y13" s="49"/>
      <c r="Z13" s="49"/>
      <c r="AA13" s="53"/>
      <c r="AB13"/>
      <c r="AK13" s="35"/>
    </row>
    <row r="14" spans="1:56" x14ac:dyDescent="0.25">
      <c r="A14" s="48"/>
      <c r="B14" s="49"/>
      <c r="C14" s="50"/>
      <c r="D14" s="49"/>
      <c r="E14" s="49" t="s">
        <v>221</v>
      </c>
      <c r="F14" s="51"/>
      <c r="G14" s="52">
        <v>6.4999999999999997E-3</v>
      </c>
      <c r="H14" s="51"/>
      <c r="I14" s="51"/>
      <c r="J14" s="51"/>
      <c r="K14" s="49"/>
      <c r="L14" s="51"/>
      <c r="M14" s="49"/>
      <c r="N14" s="49"/>
      <c r="O14" s="49"/>
      <c r="P14" s="49"/>
      <c r="Q14" s="49"/>
      <c r="R14" s="49"/>
      <c r="S14" s="49"/>
      <c r="T14" s="49"/>
      <c r="U14" s="49"/>
      <c r="V14" s="49"/>
      <c r="W14" s="49"/>
      <c r="X14" s="49"/>
      <c r="Y14" s="49"/>
      <c r="Z14" s="49"/>
      <c r="AA14" s="53"/>
      <c r="AB14"/>
      <c r="AK14" s="35"/>
    </row>
    <row r="15" spans="1:56" x14ac:dyDescent="0.25">
      <c r="A15" s="48"/>
      <c r="B15" s="49"/>
      <c r="C15" s="50"/>
      <c r="D15" s="49"/>
      <c r="E15" s="49" t="s">
        <v>222</v>
      </c>
      <c r="F15" s="51"/>
      <c r="G15" s="52">
        <v>0.05</v>
      </c>
      <c r="H15" s="51"/>
      <c r="I15" s="51"/>
      <c r="J15" s="51"/>
      <c r="K15" s="49"/>
      <c r="L15" s="51"/>
      <c r="M15" s="49"/>
      <c r="N15" s="49"/>
      <c r="O15" s="49"/>
      <c r="P15" s="49"/>
      <c r="Q15" s="49"/>
      <c r="R15" s="49"/>
      <c r="S15" s="49"/>
      <c r="T15" s="49"/>
      <c r="U15" s="49"/>
      <c r="V15" s="49"/>
      <c r="W15" s="49"/>
      <c r="X15" s="49"/>
      <c r="Y15" s="49"/>
      <c r="Z15" s="49"/>
      <c r="AA15" s="53"/>
      <c r="AB15"/>
      <c r="AK15" s="35"/>
    </row>
    <row r="16" spans="1:56" x14ac:dyDescent="0.25">
      <c r="A16" s="48"/>
      <c r="B16" s="49"/>
      <c r="C16" s="50"/>
      <c r="D16" s="49"/>
      <c r="E16" s="49" t="s">
        <v>223</v>
      </c>
      <c r="F16" s="51"/>
      <c r="G16" s="52">
        <f>IF([2]Resumo!C3=[2]Resumo!N1,0,0.045)</f>
        <v>0</v>
      </c>
      <c r="H16" s="51"/>
      <c r="I16" s="51"/>
      <c r="J16" s="51"/>
      <c r="K16" s="49"/>
      <c r="L16" s="51"/>
      <c r="M16" s="49"/>
      <c r="N16" s="49"/>
      <c r="O16" s="49"/>
      <c r="P16" s="49"/>
      <c r="Q16" s="49"/>
      <c r="R16" s="49"/>
      <c r="S16" s="49"/>
      <c r="T16" s="49"/>
      <c r="U16" s="49"/>
      <c r="V16" s="49"/>
      <c r="W16" s="49"/>
      <c r="X16" s="49"/>
      <c r="Y16" s="49"/>
      <c r="Z16" s="49"/>
      <c r="AA16" s="53"/>
      <c r="AB16"/>
      <c r="AK16" s="35"/>
    </row>
    <row r="17" spans="1:28" ht="18.75" customHeight="1" x14ac:dyDescent="0.25">
      <c r="A17" s="41"/>
      <c r="B17" s="44"/>
      <c r="C17" s="44"/>
      <c r="D17" s="44"/>
      <c r="E17" s="44"/>
      <c r="F17" s="44"/>
      <c r="G17" s="44"/>
      <c r="H17" s="44"/>
      <c r="I17" s="44"/>
      <c r="J17" s="44"/>
      <c r="K17" s="44"/>
      <c r="L17" s="44"/>
      <c r="M17" s="44"/>
      <c r="N17" s="44"/>
      <c r="O17" s="44"/>
      <c r="P17" s="44"/>
      <c r="Q17" s="44"/>
      <c r="R17" s="44"/>
      <c r="S17" s="44"/>
      <c r="T17" s="44"/>
      <c r="U17" s="44"/>
      <c r="V17" s="44"/>
      <c r="W17" s="44"/>
      <c r="X17" s="44"/>
      <c r="Y17" s="44"/>
      <c r="Z17" s="44"/>
      <c r="AA17" s="47"/>
      <c r="AB17"/>
    </row>
    <row r="18" spans="1:28" ht="18.75" customHeight="1" x14ac:dyDescent="0.25">
      <c r="A18" s="41"/>
      <c r="B18" s="44"/>
      <c r="C18" s="44"/>
      <c r="D18" s="44"/>
      <c r="E18" s="44"/>
      <c r="F18" s="44"/>
      <c r="G18" s="44"/>
      <c r="H18" s="44"/>
      <c r="I18" s="44"/>
      <c r="J18" s="44"/>
      <c r="K18" s="44"/>
      <c r="L18" s="44"/>
      <c r="M18" s="44"/>
      <c r="N18" s="44"/>
      <c r="O18" s="44"/>
      <c r="P18" s="44"/>
      <c r="Q18" s="44"/>
      <c r="R18" s="44"/>
      <c r="S18" s="44"/>
      <c r="T18" s="44"/>
      <c r="U18" s="44"/>
      <c r="V18" s="44"/>
      <c r="W18" s="44"/>
      <c r="X18" s="44"/>
      <c r="Y18" s="44"/>
      <c r="Z18" s="44"/>
      <c r="AA18" s="47"/>
      <c r="AB18"/>
    </row>
    <row r="19" spans="1:28" ht="18.75" customHeight="1" x14ac:dyDescent="0.25">
      <c r="A19" s="41"/>
      <c r="B19" s="44"/>
      <c r="C19" s="44"/>
      <c r="D19" s="44"/>
      <c r="E19" s="44"/>
      <c r="F19" s="44"/>
      <c r="G19" s="44"/>
      <c r="H19" s="44"/>
      <c r="I19" s="44"/>
      <c r="J19" s="44"/>
      <c r="K19" s="44"/>
      <c r="L19" s="44"/>
      <c r="M19" s="44"/>
      <c r="N19" s="44"/>
      <c r="O19" s="44"/>
      <c r="P19" s="44"/>
      <c r="Q19" s="44"/>
      <c r="R19" s="44"/>
      <c r="S19" s="44"/>
      <c r="T19" s="44"/>
      <c r="U19" s="44"/>
      <c r="V19" s="44"/>
      <c r="W19" s="44"/>
      <c r="X19" s="44"/>
      <c r="Y19" s="44"/>
      <c r="Z19" s="44"/>
      <c r="AA19" s="47"/>
      <c r="AB19"/>
    </row>
    <row r="20" spans="1:28" ht="18.75" customHeight="1" x14ac:dyDescent="0.25">
      <c r="A20" s="41"/>
      <c r="B20" s="44"/>
      <c r="C20" s="44"/>
      <c r="D20" s="44"/>
      <c r="E20" s="44"/>
      <c r="F20" s="44"/>
      <c r="G20" s="44"/>
      <c r="H20" s="44"/>
      <c r="I20" s="44"/>
      <c r="J20" s="44"/>
      <c r="K20" s="44"/>
      <c r="L20" s="44"/>
      <c r="M20" s="44"/>
      <c r="N20" s="44"/>
      <c r="O20" s="44"/>
      <c r="P20" s="44"/>
      <c r="Q20" s="44"/>
      <c r="R20" s="44"/>
      <c r="S20" s="44"/>
      <c r="T20" s="44"/>
      <c r="U20" s="44"/>
      <c r="V20" s="44"/>
      <c r="W20" s="44"/>
      <c r="X20" s="44"/>
      <c r="Y20" s="44"/>
      <c r="Z20" s="44"/>
      <c r="AA20" s="47"/>
      <c r="AB20"/>
    </row>
    <row r="21" spans="1:28" ht="18.75" customHeight="1" x14ac:dyDescent="0.25">
      <c r="A21" s="41"/>
      <c r="B21" s="54" t="s">
        <v>224</v>
      </c>
      <c r="C21" s="506" t="s">
        <v>225</v>
      </c>
      <c r="D21" s="55" t="s">
        <v>226</v>
      </c>
      <c r="E21" s="56">
        <v>1</v>
      </c>
      <c r="F21" s="55" t="s">
        <v>227</v>
      </c>
      <c r="G21" s="56">
        <f>G7</f>
        <v>0.03</v>
      </c>
      <c r="H21" s="55" t="s">
        <v>227</v>
      </c>
      <c r="I21" s="56">
        <f>G8</f>
        <v>8.0000000000000002E-3</v>
      </c>
      <c r="J21" s="55" t="s">
        <v>227</v>
      </c>
      <c r="K21" s="56">
        <f>G9</f>
        <v>9.7000000000000003E-3</v>
      </c>
      <c r="L21" s="54" t="s">
        <v>228</v>
      </c>
      <c r="M21" s="54" t="s">
        <v>229</v>
      </c>
      <c r="N21" s="56">
        <v>1</v>
      </c>
      <c r="O21" s="54" t="s">
        <v>227</v>
      </c>
      <c r="P21" s="56">
        <f>G10</f>
        <v>5.8999999999999999E-3</v>
      </c>
      <c r="Q21" s="54" t="s">
        <v>228</v>
      </c>
      <c r="R21" s="54" t="s">
        <v>229</v>
      </c>
      <c r="S21" s="56">
        <v>1</v>
      </c>
      <c r="T21" s="54" t="s">
        <v>227</v>
      </c>
      <c r="U21" s="56">
        <f>G11</f>
        <v>6.1600000000000002E-2</v>
      </c>
      <c r="V21" s="54" t="s">
        <v>230</v>
      </c>
      <c r="W21" s="506" t="s">
        <v>231</v>
      </c>
      <c r="X21" s="507">
        <v>-1</v>
      </c>
      <c r="Y21" s="508" t="s">
        <v>232</v>
      </c>
      <c r="Z21" s="509">
        <f>ROUND((((E21+G21+I21+K21)*(N21+P21)*(S21+U21))/(N23-P23))-1,4)</f>
        <v>0.22470000000000001</v>
      </c>
      <c r="AA21" s="47"/>
      <c r="AB21"/>
    </row>
    <row r="22" spans="1:28" ht="3.75" customHeight="1" x14ac:dyDescent="0.25">
      <c r="A22" s="41"/>
      <c r="B22" s="44"/>
      <c r="C22" s="506"/>
      <c r="D22" s="510"/>
      <c r="E22" s="510"/>
      <c r="F22" s="510"/>
      <c r="G22" s="510"/>
      <c r="H22" s="510"/>
      <c r="I22" s="510"/>
      <c r="J22" s="510"/>
      <c r="K22" s="510"/>
      <c r="L22" s="510"/>
      <c r="M22" s="510"/>
      <c r="N22" s="510"/>
      <c r="O22" s="510"/>
      <c r="P22" s="510"/>
      <c r="Q22" s="510"/>
      <c r="R22" s="510"/>
      <c r="S22" s="510"/>
      <c r="T22" s="510"/>
      <c r="U22" s="510"/>
      <c r="V22" s="510"/>
      <c r="W22" s="506"/>
      <c r="X22" s="507"/>
      <c r="Y22" s="508"/>
      <c r="Z22" s="509"/>
      <c r="AA22" s="47"/>
      <c r="AB22"/>
    </row>
    <row r="23" spans="1:28" s="64" customFormat="1" ht="18.75" customHeight="1" x14ac:dyDescent="0.25">
      <c r="A23" s="57"/>
      <c r="B23" s="58"/>
      <c r="C23" s="506"/>
      <c r="D23" s="59"/>
      <c r="E23" s="59"/>
      <c r="F23" s="59"/>
      <c r="G23" s="59"/>
      <c r="H23" s="59"/>
      <c r="I23" s="59"/>
      <c r="J23" s="59"/>
      <c r="K23" s="60"/>
      <c r="L23" s="60"/>
      <c r="M23" s="59" t="s">
        <v>229</v>
      </c>
      <c r="N23" s="61">
        <v>1</v>
      </c>
      <c r="O23" s="60" t="s">
        <v>10</v>
      </c>
      <c r="P23" s="61">
        <f>G12</f>
        <v>8.6499999999999994E-2</v>
      </c>
      <c r="Q23" s="60" t="s">
        <v>233</v>
      </c>
      <c r="R23" s="60"/>
      <c r="S23" s="60"/>
      <c r="T23" s="60"/>
      <c r="U23" s="60"/>
      <c r="V23" s="60"/>
      <c r="W23" s="506"/>
      <c r="X23" s="507"/>
      <c r="Y23" s="508"/>
      <c r="Z23" s="509"/>
      <c r="AA23" s="62"/>
      <c r="AB23" s="63"/>
    </row>
    <row r="24" spans="1:28" ht="18.75" customHeight="1" x14ac:dyDescent="0.25">
      <c r="A24" s="41"/>
      <c r="B24" s="44"/>
      <c r="C24" s="44"/>
      <c r="D24" s="44"/>
      <c r="E24" s="44"/>
      <c r="F24" s="45"/>
      <c r="G24" s="45"/>
      <c r="H24" s="45"/>
      <c r="I24" s="45"/>
      <c r="J24" s="45"/>
      <c r="K24" s="45"/>
      <c r="L24" s="45"/>
      <c r="M24" s="44"/>
      <c r="N24" s="44"/>
      <c r="O24" s="44"/>
      <c r="P24" s="44"/>
      <c r="Q24" s="44"/>
      <c r="R24" s="44"/>
      <c r="S24" s="44"/>
      <c r="T24" s="44"/>
      <c r="U24" s="44"/>
      <c r="V24" s="44"/>
      <c r="W24" s="44"/>
      <c r="X24" s="44"/>
      <c r="Y24" s="44"/>
      <c r="Z24" s="44"/>
      <c r="AA24" s="47"/>
      <c r="AB24"/>
    </row>
    <row r="25" spans="1:28" ht="15.75" thickBot="1" x14ac:dyDescent="0.3">
      <c r="A25" s="65" t="s">
        <v>234</v>
      </c>
      <c r="B25" s="66"/>
      <c r="C25" s="66"/>
      <c r="D25" s="66"/>
      <c r="E25" s="66"/>
      <c r="F25" s="67"/>
      <c r="G25" s="67"/>
      <c r="H25" s="67"/>
      <c r="I25" s="67"/>
      <c r="J25" s="67"/>
      <c r="K25" s="67"/>
      <c r="L25" s="67"/>
      <c r="M25" s="66"/>
      <c r="N25" s="66"/>
      <c r="O25" s="66"/>
      <c r="P25" s="66"/>
      <c r="Q25" s="66"/>
      <c r="R25" s="66"/>
      <c r="S25" s="66"/>
      <c r="T25" s="66"/>
      <c r="U25" s="66"/>
      <c r="V25" s="66"/>
      <c r="W25" s="66"/>
      <c r="X25" s="66"/>
      <c r="Y25" s="66"/>
      <c r="Z25" s="66"/>
      <c r="AA25" s="68"/>
      <c r="AB25"/>
    </row>
  </sheetData>
  <mergeCells count="14">
    <mergeCell ref="A5:AA5"/>
    <mergeCell ref="C21:C23"/>
    <mergeCell ref="W21:W23"/>
    <mergeCell ref="X21:X23"/>
    <mergeCell ref="Y21:Y23"/>
    <mergeCell ref="Z21:Z23"/>
    <mergeCell ref="D22:V22"/>
    <mergeCell ref="S4:X4"/>
    <mergeCell ref="Z4:AA4"/>
    <mergeCell ref="A1:AA1"/>
    <mergeCell ref="S2:X2"/>
    <mergeCell ref="Z2:AA2"/>
    <mergeCell ref="S3:X3"/>
    <mergeCell ref="Z3:AA3"/>
  </mergeCells>
  <conditionalFormatting sqref="B4">
    <cfRule type="expression" dxfId="34" priority="1">
      <formula>B4=""</formula>
    </cfRule>
  </conditionalFormatting>
  <dataValidations count="2">
    <dataValidation type="list" allowBlank="1" showInputMessage="1" showErrorMessage="1" sqref="A5:AA5" xr:uid="{5EB22A1F-0DDD-4FC9-8BAE-DCF7B98FEE4D}">
      <formula1>$AF$1:$AF$6</formula1>
    </dataValidation>
    <dataValidation type="list" allowBlank="1" showInputMessage="1" showErrorMessage="1" sqref="S4:X4" xr:uid="{638B5A82-3017-4022-8E79-73766AEC93F6}">
      <formula1>"PRIMEIRO QUARTIL, QUARTIL MÉDIO, TERCEIRO QUARTIL"</formula1>
    </dataValidation>
  </dataValidations>
  <pageMargins left="0.511811024" right="0.511811024" top="0.78740157499999996" bottom="0.78740157499999996" header="0.31496062000000002" footer="0.31496062000000002"/>
  <pageSetup paperSize="9" scale="72" orientation="portrait"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100"/>
  <sheetViews>
    <sheetView zoomScale="85" zoomScaleNormal="85" workbookViewId="0">
      <selection activeCell="D115" sqref="D115"/>
    </sheetView>
  </sheetViews>
  <sheetFormatPr defaultRowHeight="15" x14ac:dyDescent="0.25"/>
  <cols>
    <col min="1" max="1" width="21" customWidth="1"/>
    <col min="2" max="2" width="37.5703125" customWidth="1"/>
    <col min="3" max="3" width="17.5703125" customWidth="1"/>
    <col min="4" max="5" width="34.85546875" customWidth="1"/>
    <col min="6" max="6" width="13.7109375" customWidth="1"/>
    <col min="7" max="7" width="15" bestFit="1" customWidth="1"/>
    <col min="8" max="8" width="15.28515625" bestFit="1" customWidth="1"/>
    <col min="9" max="9" width="22.42578125" customWidth="1"/>
  </cols>
  <sheetData>
    <row r="1" spans="1:13" ht="93" customHeight="1" thickBot="1" x14ac:dyDescent="0.3">
      <c r="A1" s="468" t="s">
        <v>88</v>
      </c>
      <c r="B1" s="469"/>
      <c r="C1" s="469"/>
      <c r="D1" s="469"/>
      <c r="E1" s="469"/>
      <c r="F1" s="469"/>
      <c r="G1" s="469"/>
      <c r="H1" s="469"/>
      <c r="I1" s="444"/>
      <c r="J1" s="33"/>
      <c r="K1" s="315"/>
      <c r="L1" s="33"/>
      <c r="M1" s="316"/>
    </row>
    <row r="2" spans="1:13" x14ac:dyDescent="0.25">
      <c r="A2" s="141" t="s">
        <v>623</v>
      </c>
      <c r="B2" s="470" t="s">
        <v>118</v>
      </c>
      <c r="C2" s="470"/>
      <c r="D2" s="470"/>
      <c r="E2" s="470"/>
      <c r="F2" s="470"/>
      <c r="G2" s="470"/>
      <c r="H2" s="470"/>
      <c r="I2" s="146">
        <f>BDI!$Z$21</f>
        <v>0.22470000000000001</v>
      </c>
      <c r="J2" s="317"/>
      <c r="K2" s="315"/>
      <c r="L2" s="33"/>
      <c r="M2" s="316"/>
    </row>
    <row r="3" spans="1:13" x14ac:dyDescent="0.25">
      <c r="A3" s="142" t="s">
        <v>236</v>
      </c>
      <c r="B3" s="473" t="s">
        <v>121</v>
      </c>
      <c r="C3" s="473"/>
      <c r="D3" s="473"/>
      <c r="E3" s="473"/>
      <c r="F3" s="473"/>
      <c r="G3" s="473"/>
      <c r="H3" s="473"/>
      <c r="I3" s="147" t="str">
        <f>Resumo!D3</f>
        <v>REV_03</v>
      </c>
      <c r="J3" s="317"/>
      <c r="K3" s="315"/>
      <c r="L3" s="33"/>
      <c r="M3" s="316"/>
    </row>
    <row r="4" spans="1:13" ht="15.75" thickBot="1" x14ac:dyDescent="0.3">
      <c r="A4" s="143" t="s">
        <v>87</v>
      </c>
      <c r="B4" s="476" t="s">
        <v>635</v>
      </c>
      <c r="C4" s="476"/>
      <c r="D4" s="476"/>
      <c r="E4" s="476"/>
      <c r="F4" s="476"/>
      <c r="G4" s="476"/>
      <c r="H4" s="476"/>
      <c r="I4" s="148" t="s">
        <v>727</v>
      </c>
      <c r="J4" s="317"/>
      <c r="K4" s="315"/>
      <c r="L4" s="33"/>
      <c r="M4" s="316"/>
    </row>
    <row r="5" spans="1:13" ht="15.75" thickBot="1" x14ac:dyDescent="0.3">
      <c r="A5" s="523"/>
      <c r="B5" s="524"/>
      <c r="C5" s="524"/>
      <c r="D5" s="524"/>
      <c r="E5" s="524"/>
      <c r="F5" s="524"/>
      <c r="G5" s="524"/>
      <c r="H5" s="524"/>
      <c r="I5" s="524"/>
    </row>
    <row r="6" spans="1:13" s="1" customFormat="1" ht="28.5" customHeight="1" thickBot="1" x14ac:dyDescent="0.3">
      <c r="A6" s="450" t="s">
        <v>88</v>
      </c>
      <c r="B6" s="451"/>
      <c r="C6" s="452"/>
      <c r="D6" s="452"/>
      <c r="E6" s="452"/>
      <c r="F6" s="452"/>
      <c r="G6" s="452"/>
      <c r="H6" s="452"/>
      <c r="I6" s="525"/>
    </row>
    <row r="7" spans="1:13" s="318" customFormat="1" ht="20.25" customHeight="1" thickBot="1" x14ac:dyDescent="0.3">
      <c r="A7" s="526" t="s">
        <v>89</v>
      </c>
      <c r="B7" s="526" t="s">
        <v>90</v>
      </c>
      <c r="C7" s="528" t="s">
        <v>97</v>
      </c>
      <c r="D7" s="529"/>
      <c r="E7" s="530"/>
      <c r="F7" s="534" t="s">
        <v>298</v>
      </c>
      <c r="G7" s="535"/>
      <c r="H7" s="535"/>
      <c r="I7" s="536"/>
    </row>
    <row r="8" spans="1:13" s="319" customFormat="1" ht="20.25" customHeight="1" thickBot="1" x14ac:dyDescent="0.3">
      <c r="A8" s="527"/>
      <c r="B8" s="527"/>
      <c r="C8" s="531"/>
      <c r="D8" s="532"/>
      <c r="E8" s="533"/>
      <c r="F8" s="5">
        <f t="shared" ref="F8:H8" ca="1" si="0">OFFSET(F8,0,-1)+1</f>
        <v>1</v>
      </c>
      <c r="G8" s="5">
        <f t="shared" ca="1" si="0"/>
        <v>2</v>
      </c>
      <c r="H8" s="5">
        <f t="shared" ca="1" si="0"/>
        <v>3</v>
      </c>
      <c r="I8" s="5" t="s">
        <v>0</v>
      </c>
    </row>
    <row r="9" spans="1:13" s="318" customFormat="1" ht="20.25" customHeight="1" x14ac:dyDescent="0.25">
      <c r="A9" s="538">
        <f>Orçamento!$A9</f>
        <v>1</v>
      </c>
      <c r="B9" s="541" t="str">
        <f>Orçamento!$D$9</f>
        <v>ADMINISTRAÇÃO LOCAL DA OBRA</v>
      </c>
      <c r="C9" s="517">
        <f>Orçamento!$J$9</f>
        <v>42241.326713750001</v>
      </c>
      <c r="D9" s="520">
        <f ca="1">C9/$C$99</f>
        <v>0.12547984360094822</v>
      </c>
      <c r="E9" s="6" t="s">
        <v>82</v>
      </c>
      <c r="F9" s="7">
        <v>0.33</v>
      </c>
      <c r="G9" s="7">
        <v>0.34</v>
      </c>
      <c r="H9" s="7">
        <v>0.33</v>
      </c>
      <c r="I9" s="8">
        <f>SUM(F9:H9)</f>
        <v>1</v>
      </c>
      <c r="K9" s="320"/>
    </row>
    <row r="10" spans="1:13" s="318" customFormat="1" ht="20.25" customHeight="1" x14ac:dyDescent="0.25">
      <c r="A10" s="539"/>
      <c r="B10" s="515"/>
      <c r="C10" s="518"/>
      <c r="D10" s="521"/>
      <c r="E10" s="9"/>
      <c r="F10" s="10"/>
      <c r="G10" s="10"/>
      <c r="H10" s="10"/>
      <c r="I10" s="11"/>
    </row>
    <row r="11" spans="1:13" s="318" customFormat="1" ht="20.25" customHeight="1" thickBot="1" x14ac:dyDescent="0.3">
      <c r="A11" s="540"/>
      <c r="B11" s="516"/>
      <c r="C11" s="519"/>
      <c r="D11" s="522"/>
      <c r="E11" s="12" t="s">
        <v>92</v>
      </c>
      <c r="F11" s="13">
        <f>$C9*F9</f>
        <v>13939.637815537501</v>
      </c>
      <c r="G11" s="13">
        <f t="shared" ref="G11:I11" si="1">$C9*G9</f>
        <v>14362.051082675001</v>
      </c>
      <c r="H11" s="13">
        <f t="shared" ref="H11" si="2">$C9*H9</f>
        <v>13939.637815537501</v>
      </c>
      <c r="I11" s="14">
        <f t="shared" si="1"/>
        <v>42241.326713750001</v>
      </c>
      <c r="K11" s="321"/>
    </row>
    <row r="12" spans="1:13" s="318" customFormat="1" ht="20.25" customHeight="1" x14ac:dyDescent="0.25">
      <c r="A12" s="537">
        <v>2</v>
      </c>
      <c r="B12" s="514" t="str">
        <f>Orçamento!$D$13</f>
        <v>REGULARIZAÇÃO E MOBILIZAÇÃO</v>
      </c>
      <c r="C12" s="517">
        <f ca="1">Orçamento!$J$13</f>
        <v>2702.2648971726385</v>
      </c>
      <c r="D12" s="520">
        <f ca="1">C12/$C$99</f>
        <v>8.0272047079236516E-3</v>
      </c>
      <c r="E12" s="6" t="s">
        <v>82</v>
      </c>
      <c r="F12" s="7">
        <v>0.15</v>
      </c>
      <c r="G12" s="7"/>
      <c r="H12" s="7">
        <v>0.85</v>
      </c>
      <c r="I12" s="8">
        <f>SUM(F12:H12)</f>
        <v>1</v>
      </c>
      <c r="K12" s="320"/>
    </row>
    <row r="13" spans="1:13" s="318" customFormat="1" ht="20.25" customHeight="1" x14ac:dyDescent="0.25">
      <c r="A13" s="512"/>
      <c r="B13" s="515"/>
      <c r="C13" s="518"/>
      <c r="D13" s="521"/>
      <c r="E13" s="9"/>
      <c r="F13" s="10"/>
      <c r="G13" s="10"/>
      <c r="H13" s="10"/>
      <c r="I13" s="11"/>
    </row>
    <row r="14" spans="1:13" s="318" customFormat="1" ht="20.25" customHeight="1" thickBot="1" x14ac:dyDescent="0.3">
      <c r="A14" s="513"/>
      <c r="B14" s="516"/>
      <c r="C14" s="519"/>
      <c r="D14" s="522"/>
      <c r="E14" s="12" t="s">
        <v>92</v>
      </c>
      <c r="F14" s="13">
        <f t="shared" ref="F14:I14" ca="1" si="3">$C12*F12</f>
        <v>405.33973457589576</v>
      </c>
      <c r="G14" s="13">
        <f t="shared" ca="1" si="3"/>
        <v>0</v>
      </c>
      <c r="H14" s="13">
        <f t="shared" ref="H14" ca="1" si="4">$C12*H12</f>
        <v>2296.9251625967427</v>
      </c>
      <c r="I14" s="14">
        <f t="shared" ca="1" si="3"/>
        <v>2702.2648971726385</v>
      </c>
      <c r="K14" s="321"/>
    </row>
    <row r="15" spans="1:13" s="318" customFormat="1" ht="20.25" customHeight="1" x14ac:dyDescent="0.25">
      <c r="A15" s="537">
        <f>Orçamento!A23</f>
        <v>3</v>
      </c>
      <c r="B15" s="514" t="str">
        <f>Orçamento!$D$23</f>
        <v>DEMOLIÇÕES E REMOÇÕES</v>
      </c>
      <c r="C15" s="517">
        <f>Orçamento!$J$23</f>
        <v>10159.773849920139</v>
      </c>
      <c r="D15" s="520">
        <f ca="1">C15/$C$99</f>
        <v>3.0180085070434265E-2</v>
      </c>
      <c r="E15" s="6" t="s">
        <v>82</v>
      </c>
      <c r="F15" s="7">
        <v>1</v>
      </c>
      <c r="G15" s="7"/>
      <c r="H15" s="7"/>
      <c r="I15" s="8">
        <f>SUM(F15:H15)</f>
        <v>1</v>
      </c>
      <c r="K15" s="320"/>
    </row>
    <row r="16" spans="1:13" s="318" customFormat="1" ht="20.25" customHeight="1" x14ac:dyDescent="0.25">
      <c r="A16" s="512"/>
      <c r="B16" s="515"/>
      <c r="C16" s="518"/>
      <c r="D16" s="521"/>
      <c r="E16" s="9"/>
      <c r="F16" s="10"/>
      <c r="G16" s="10"/>
      <c r="H16" s="10"/>
      <c r="I16" s="11"/>
    </row>
    <row r="17" spans="1:11" s="318" customFormat="1" ht="20.25" customHeight="1" thickBot="1" x14ac:dyDescent="0.3">
      <c r="A17" s="513"/>
      <c r="B17" s="516"/>
      <c r="C17" s="519"/>
      <c r="D17" s="522"/>
      <c r="E17" s="12" t="s">
        <v>92</v>
      </c>
      <c r="F17" s="13">
        <f>$C15*F15</f>
        <v>10159.773849920139</v>
      </c>
      <c r="G17" s="13">
        <f t="shared" ref="G17" si="5">$C15*G15</f>
        <v>0</v>
      </c>
      <c r="H17" s="13">
        <f t="shared" ref="H17" si="6">$C15*H15</f>
        <v>0</v>
      </c>
      <c r="I17" s="14">
        <f>$C15*I15</f>
        <v>10159.773849920139</v>
      </c>
      <c r="K17" s="321"/>
    </row>
    <row r="18" spans="1:11" s="318" customFormat="1" ht="20.25" customHeight="1" x14ac:dyDescent="0.25">
      <c r="A18" s="537">
        <f>Orçamento!A39</f>
        <v>4</v>
      </c>
      <c r="B18" s="514" t="str">
        <f>Orçamento!D$39</f>
        <v>SERVIÇOS CIVIS</v>
      </c>
      <c r="C18" s="517">
        <f>Orçamento!J$39</f>
        <v>6930.3930928729997</v>
      </c>
      <c r="D18" s="520">
        <f ca="1">C18/$C$99</f>
        <v>2.0587057960556994E-2</v>
      </c>
      <c r="E18" s="6" t="s">
        <v>82</v>
      </c>
      <c r="F18" s="7">
        <v>0.8</v>
      </c>
      <c r="G18" s="7">
        <v>0.2</v>
      </c>
      <c r="H18" s="7"/>
      <c r="I18" s="8">
        <f>SUM(F18:H18)</f>
        <v>1</v>
      </c>
      <c r="K18" s="320"/>
    </row>
    <row r="19" spans="1:11" s="318" customFormat="1" ht="20.25" customHeight="1" x14ac:dyDescent="0.25">
      <c r="A19" s="512"/>
      <c r="B19" s="515"/>
      <c r="C19" s="518"/>
      <c r="D19" s="521"/>
      <c r="E19" s="9"/>
      <c r="F19" s="10"/>
      <c r="G19" s="10"/>
      <c r="H19" s="10"/>
      <c r="I19" s="11"/>
    </row>
    <row r="20" spans="1:11" s="318" customFormat="1" ht="20.25" customHeight="1" thickBot="1" x14ac:dyDescent="0.3">
      <c r="A20" s="513"/>
      <c r="B20" s="516"/>
      <c r="C20" s="519"/>
      <c r="D20" s="522"/>
      <c r="E20" s="12" t="s">
        <v>92</v>
      </c>
      <c r="F20" s="13">
        <f t="shared" ref="F20:I20" si="7">$C18*F18</f>
        <v>5544.3144742984005</v>
      </c>
      <c r="G20" s="13">
        <f t="shared" si="7"/>
        <v>1386.0786185746001</v>
      </c>
      <c r="H20" s="13">
        <f t="shared" ref="H20" si="8">$C18*H18</f>
        <v>0</v>
      </c>
      <c r="I20" s="14">
        <f t="shared" si="7"/>
        <v>6930.3930928729997</v>
      </c>
      <c r="K20" s="321"/>
    </row>
    <row r="21" spans="1:11" s="318" customFormat="1" ht="20.25" customHeight="1" x14ac:dyDescent="0.25">
      <c r="A21" s="537">
        <f>Orçamento!A44</f>
        <v>5</v>
      </c>
      <c r="B21" s="514" t="str">
        <f>Orçamento!D$44</f>
        <v>FORROS, COBERTURAS E FECHAMENTOS EM DRY-WALL</v>
      </c>
      <c r="C21" s="517">
        <f ca="1">Orçamento!J$44</f>
        <v>39678.096091116582</v>
      </c>
      <c r="D21" s="520">
        <f ca="1">C21/$C$99</f>
        <v>0.11786564673112057</v>
      </c>
      <c r="E21" s="6" t="s">
        <v>82</v>
      </c>
      <c r="F21" s="7"/>
      <c r="G21" s="7">
        <v>1</v>
      </c>
      <c r="H21" s="7"/>
      <c r="I21" s="8">
        <f>SUM(F21:H21)</f>
        <v>1</v>
      </c>
      <c r="K21" s="320"/>
    </row>
    <row r="22" spans="1:11" s="318" customFormat="1" ht="20.25" customHeight="1" x14ac:dyDescent="0.25">
      <c r="A22" s="512"/>
      <c r="B22" s="515"/>
      <c r="C22" s="518"/>
      <c r="D22" s="521"/>
      <c r="E22" s="9"/>
      <c r="F22" s="10"/>
      <c r="G22" s="10"/>
      <c r="H22" s="10"/>
      <c r="I22" s="11"/>
    </row>
    <row r="23" spans="1:11" s="318" customFormat="1" ht="20.25" customHeight="1" thickBot="1" x14ac:dyDescent="0.3">
      <c r="A23" s="513"/>
      <c r="B23" s="516"/>
      <c r="C23" s="519"/>
      <c r="D23" s="522"/>
      <c r="E23" s="12" t="s">
        <v>92</v>
      </c>
      <c r="F23" s="13">
        <f t="shared" ref="F23:I23" ca="1" si="9">$C21*F21</f>
        <v>0</v>
      </c>
      <c r="G23" s="13">
        <f t="shared" ca="1" si="9"/>
        <v>39678.096091116582</v>
      </c>
      <c r="H23" s="13">
        <f t="shared" ref="H23" ca="1" si="10">$C21*H21</f>
        <v>0</v>
      </c>
      <c r="I23" s="14">
        <f t="shared" ca="1" si="9"/>
        <v>39678.096091116582</v>
      </c>
      <c r="K23" s="321"/>
    </row>
    <row r="24" spans="1:11" s="318" customFormat="1" ht="20.25" customHeight="1" x14ac:dyDescent="0.25">
      <c r="A24" s="511" t="s">
        <v>94</v>
      </c>
      <c r="B24" s="514" t="str">
        <f>Orçamento!$D$55</f>
        <v>REVESTIMENTOS E ROCHAS ORNAMENTAIS</v>
      </c>
      <c r="C24" s="517">
        <f ca="1">Orçamento!$J$55</f>
        <v>20808.246462573781</v>
      </c>
      <c r="D24" s="520">
        <f ca="1">C24/$C$99</f>
        <v>6.1811872752657385E-2</v>
      </c>
      <c r="E24" s="6" t="s">
        <v>82</v>
      </c>
      <c r="F24" s="7"/>
      <c r="G24" s="7">
        <v>1</v>
      </c>
      <c r="H24" s="7"/>
      <c r="I24" s="8">
        <f>SUM(F24:H24)</f>
        <v>1</v>
      </c>
      <c r="K24" s="320"/>
    </row>
    <row r="25" spans="1:11" s="318" customFormat="1" ht="20.25" customHeight="1" x14ac:dyDescent="0.25">
      <c r="A25" s="512"/>
      <c r="B25" s="515"/>
      <c r="C25" s="518"/>
      <c r="D25" s="521"/>
      <c r="E25" s="9"/>
      <c r="F25" s="10"/>
      <c r="G25" s="10"/>
      <c r="H25" s="10"/>
      <c r="I25" s="11"/>
    </row>
    <row r="26" spans="1:11" s="318" customFormat="1" ht="20.25" customHeight="1" thickBot="1" x14ac:dyDescent="0.3">
      <c r="A26" s="513"/>
      <c r="B26" s="516"/>
      <c r="C26" s="519"/>
      <c r="D26" s="522"/>
      <c r="E26" s="12" t="s">
        <v>92</v>
      </c>
      <c r="F26" s="13">
        <f t="shared" ref="F26:I26" ca="1" si="11">$C24*F24</f>
        <v>0</v>
      </c>
      <c r="G26" s="13">
        <f t="shared" ca="1" si="11"/>
        <v>20808.246462573781</v>
      </c>
      <c r="H26" s="13">
        <f t="shared" ref="H26" ca="1" si="12">$C24*H24</f>
        <v>0</v>
      </c>
      <c r="I26" s="14">
        <f t="shared" ca="1" si="11"/>
        <v>20808.246462573781</v>
      </c>
      <c r="K26" s="321"/>
    </row>
    <row r="27" spans="1:11" s="318" customFormat="1" ht="20.25" customHeight="1" x14ac:dyDescent="0.25">
      <c r="A27" s="511" t="s">
        <v>166</v>
      </c>
      <c r="B27" s="514" t="str">
        <f>Orçamento!$D$65</f>
        <v>ITENS DIVERSOS</v>
      </c>
      <c r="C27" s="517">
        <f>Orçamento!$J$65</f>
        <v>137.87672599999999</v>
      </c>
      <c r="D27" s="520">
        <f ca="1">C27/$C$99</f>
        <v>4.095692858306747E-4</v>
      </c>
      <c r="E27" s="6" t="s">
        <v>82</v>
      </c>
      <c r="F27" s="7">
        <v>1</v>
      </c>
      <c r="G27" s="7"/>
      <c r="H27" s="7"/>
      <c r="I27" s="8">
        <f>SUM(F27:H27)</f>
        <v>1</v>
      </c>
      <c r="K27" s="320"/>
    </row>
    <row r="28" spans="1:11" s="318" customFormat="1" ht="20.25" customHeight="1" x14ac:dyDescent="0.25">
      <c r="A28" s="512"/>
      <c r="B28" s="515"/>
      <c r="C28" s="518"/>
      <c r="D28" s="521"/>
      <c r="E28" s="9"/>
      <c r="F28" s="10"/>
      <c r="G28" s="10"/>
      <c r="H28" s="10"/>
      <c r="I28" s="11"/>
    </row>
    <row r="29" spans="1:11" s="318" customFormat="1" ht="20.25" customHeight="1" thickBot="1" x14ac:dyDescent="0.3">
      <c r="A29" s="513"/>
      <c r="B29" s="516"/>
      <c r="C29" s="519"/>
      <c r="D29" s="522"/>
      <c r="E29" s="12" t="s">
        <v>92</v>
      </c>
      <c r="F29" s="13">
        <f t="shared" ref="F29:I29" si="13">$C27*F27</f>
        <v>137.87672599999999</v>
      </c>
      <c r="G29" s="13">
        <f t="shared" si="13"/>
        <v>0</v>
      </c>
      <c r="H29" s="13">
        <f t="shared" ref="H29" si="14">$C27*H27</f>
        <v>0</v>
      </c>
      <c r="I29" s="14">
        <f t="shared" si="13"/>
        <v>137.87672599999999</v>
      </c>
      <c r="K29" s="321"/>
    </row>
    <row r="30" spans="1:11" s="318" customFormat="1" ht="20.25" customHeight="1" x14ac:dyDescent="0.25">
      <c r="A30" s="511" t="s">
        <v>167</v>
      </c>
      <c r="B30" s="514" t="str">
        <f>Orçamento!$D$67</f>
        <v xml:space="preserve">CABOS, FIAÇÕES E ACESSÓRIOS </v>
      </c>
      <c r="C30" s="517">
        <f ca="1">Orçamento!$J$67</f>
        <v>8507.3663030000007</v>
      </c>
      <c r="D30" s="520">
        <f ca="1">C30/$C$99</f>
        <v>2.5271530896517357E-2</v>
      </c>
      <c r="E30" s="6" t="s">
        <v>82</v>
      </c>
      <c r="F30" s="7">
        <v>1</v>
      </c>
      <c r="G30" s="7"/>
      <c r="H30" s="7"/>
      <c r="I30" s="8">
        <f>SUM(F30:H30)</f>
        <v>1</v>
      </c>
      <c r="K30" s="320"/>
    </row>
    <row r="31" spans="1:11" s="318" customFormat="1" ht="20.25" customHeight="1" x14ac:dyDescent="0.25">
      <c r="A31" s="512"/>
      <c r="B31" s="515"/>
      <c r="C31" s="518"/>
      <c r="D31" s="521"/>
      <c r="E31" s="9"/>
      <c r="F31" s="10"/>
      <c r="G31" s="10"/>
      <c r="H31" s="10"/>
      <c r="I31" s="11"/>
    </row>
    <row r="32" spans="1:11" s="318" customFormat="1" ht="20.25" customHeight="1" thickBot="1" x14ac:dyDescent="0.3">
      <c r="A32" s="513"/>
      <c r="B32" s="516"/>
      <c r="C32" s="519"/>
      <c r="D32" s="522"/>
      <c r="E32" s="12" t="s">
        <v>92</v>
      </c>
      <c r="F32" s="13">
        <f t="shared" ref="F32:I32" ca="1" si="15">$C30*F30</f>
        <v>8507.3663030000007</v>
      </c>
      <c r="G32" s="13">
        <f t="shared" ca="1" si="15"/>
        <v>0</v>
      </c>
      <c r="H32" s="13">
        <f t="shared" ref="H32" ca="1" si="16">$C30*H30</f>
        <v>0</v>
      </c>
      <c r="I32" s="14">
        <f t="shared" ca="1" si="15"/>
        <v>8507.3663030000007</v>
      </c>
      <c r="K32" s="321"/>
    </row>
    <row r="33" spans="1:11" s="318" customFormat="1" ht="20.25" customHeight="1" x14ac:dyDescent="0.25">
      <c r="A33" s="511" t="s">
        <v>168</v>
      </c>
      <c r="B33" s="514" t="str">
        <f>Orçamento!$D$75</f>
        <v>ELETRODUTOS, CAIXAS E ACESSÓRIOS</v>
      </c>
      <c r="C33" s="517">
        <f>Orçamento!$J$75</f>
        <v>8959.8562119999988</v>
      </c>
      <c r="D33" s="520">
        <f ca="1">C33/$C$99</f>
        <v>2.6615673408827346E-2</v>
      </c>
      <c r="E33" s="6" t="s">
        <v>82</v>
      </c>
      <c r="F33" s="7">
        <v>1</v>
      </c>
      <c r="G33" s="7"/>
      <c r="H33" s="7"/>
      <c r="I33" s="8">
        <f>SUM(F33:H33)</f>
        <v>1</v>
      </c>
      <c r="K33" s="320"/>
    </row>
    <row r="34" spans="1:11" s="318" customFormat="1" ht="20.25" customHeight="1" x14ac:dyDescent="0.25">
      <c r="A34" s="512"/>
      <c r="B34" s="515"/>
      <c r="C34" s="518"/>
      <c r="D34" s="521"/>
      <c r="E34" s="9"/>
      <c r="F34" s="10"/>
      <c r="G34" s="10"/>
      <c r="H34" s="10"/>
      <c r="I34" s="11"/>
    </row>
    <row r="35" spans="1:11" s="318" customFormat="1" ht="20.25" customHeight="1" thickBot="1" x14ac:dyDescent="0.3">
      <c r="A35" s="513"/>
      <c r="B35" s="516"/>
      <c r="C35" s="519"/>
      <c r="D35" s="522"/>
      <c r="E35" s="12" t="s">
        <v>92</v>
      </c>
      <c r="F35" s="13">
        <f t="shared" ref="F35:I35" si="17">$C33*F33</f>
        <v>8959.8562119999988</v>
      </c>
      <c r="G35" s="13">
        <f t="shared" si="17"/>
        <v>0</v>
      </c>
      <c r="H35" s="13">
        <f t="shared" si="17"/>
        <v>0</v>
      </c>
      <c r="I35" s="14">
        <f t="shared" si="17"/>
        <v>8959.8562119999988</v>
      </c>
      <c r="K35" s="321"/>
    </row>
    <row r="36" spans="1:11" s="318" customFormat="1" ht="20.25" customHeight="1" x14ac:dyDescent="0.25">
      <c r="A36" s="511" t="s">
        <v>169</v>
      </c>
      <c r="B36" s="514" t="str">
        <f>Orçamento!$D$86</f>
        <v>ELETROCALHA E ACESSÓRIOS</v>
      </c>
      <c r="C36" s="517">
        <f>Orçamento!$J$86</f>
        <v>91.056444999999997</v>
      </c>
      <c r="D36" s="520">
        <f ca="1">C36/$C$99</f>
        <v>2.704874436090839E-4</v>
      </c>
      <c r="E36" s="6" t="s">
        <v>82</v>
      </c>
      <c r="F36" s="7">
        <v>1</v>
      </c>
      <c r="G36" s="7"/>
      <c r="H36" s="7"/>
      <c r="I36" s="8">
        <f>SUM(F36:H36)</f>
        <v>1</v>
      </c>
      <c r="K36" s="320"/>
    </row>
    <row r="37" spans="1:11" s="318" customFormat="1" ht="20.25" customHeight="1" x14ac:dyDescent="0.25">
      <c r="A37" s="512"/>
      <c r="B37" s="515"/>
      <c r="C37" s="518"/>
      <c r="D37" s="521"/>
      <c r="E37" s="9"/>
      <c r="F37" s="10"/>
      <c r="G37" s="10"/>
      <c r="H37" s="10"/>
      <c r="I37" s="11"/>
    </row>
    <row r="38" spans="1:11" s="318" customFormat="1" ht="20.25" customHeight="1" thickBot="1" x14ac:dyDescent="0.3">
      <c r="A38" s="513"/>
      <c r="B38" s="516"/>
      <c r="C38" s="519"/>
      <c r="D38" s="522"/>
      <c r="E38" s="12" t="s">
        <v>92</v>
      </c>
      <c r="F38" s="13">
        <f t="shared" ref="F38:I38" si="18">$C36*F36</f>
        <v>91.056444999999997</v>
      </c>
      <c r="G38" s="13">
        <f t="shared" si="18"/>
        <v>0</v>
      </c>
      <c r="H38" s="13">
        <f t="shared" si="18"/>
        <v>0</v>
      </c>
      <c r="I38" s="14">
        <f t="shared" si="18"/>
        <v>91.056444999999997</v>
      </c>
      <c r="K38" s="321"/>
    </row>
    <row r="39" spans="1:11" s="318" customFormat="1" ht="20.25" customHeight="1" x14ac:dyDescent="0.25">
      <c r="A39" s="511" t="s">
        <v>503</v>
      </c>
      <c r="B39" s="514" t="str">
        <f>Orçamento!$D$91</f>
        <v>ACABAMENTOS ELÉTRICOS E LUMINÁRIAS</v>
      </c>
      <c r="C39" s="517">
        <f ca="1">Orçamento!$J$91</f>
        <v>11072.876876791997</v>
      </c>
      <c r="D39" s="520">
        <f ca="1">C39/$C$99</f>
        <v>3.2892500468271135E-2</v>
      </c>
      <c r="E39" s="6" t="s">
        <v>82</v>
      </c>
      <c r="F39" s="7"/>
      <c r="G39" s="7">
        <v>1</v>
      </c>
      <c r="H39" s="7"/>
      <c r="I39" s="8">
        <f>SUM(F39:H39)</f>
        <v>1</v>
      </c>
      <c r="K39" s="320"/>
    </row>
    <row r="40" spans="1:11" s="318" customFormat="1" ht="20.25" customHeight="1" x14ac:dyDescent="0.25">
      <c r="A40" s="512"/>
      <c r="B40" s="515"/>
      <c r="C40" s="518"/>
      <c r="D40" s="521"/>
      <c r="E40" s="9"/>
      <c r="F40" s="10"/>
      <c r="G40" s="10"/>
      <c r="H40" s="10"/>
      <c r="I40" s="11"/>
    </row>
    <row r="41" spans="1:11" s="318" customFormat="1" ht="20.25" customHeight="1" thickBot="1" x14ac:dyDescent="0.3">
      <c r="A41" s="513"/>
      <c r="B41" s="516"/>
      <c r="C41" s="519"/>
      <c r="D41" s="522"/>
      <c r="E41" s="12" t="s">
        <v>92</v>
      </c>
      <c r="F41" s="13">
        <f t="shared" ref="F41:I41" ca="1" si="19">$C39*F39</f>
        <v>0</v>
      </c>
      <c r="G41" s="13">
        <f t="shared" ca="1" si="19"/>
        <v>11072.876876791997</v>
      </c>
      <c r="H41" s="13">
        <f t="shared" ca="1" si="19"/>
        <v>0</v>
      </c>
      <c r="I41" s="14">
        <f t="shared" ca="1" si="19"/>
        <v>11072.876876791997</v>
      </c>
      <c r="K41" s="321"/>
    </row>
    <row r="42" spans="1:11" s="318" customFormat="1" ht="20.25" customHeight="1" x14ac:dyDescent="0.25">
      <c r="A42" s="511" t="s">
        <v>67</v>
      </c>
      <c r="B42" s="514" t="str">
        <f>Orçamento!$D$103</f>
        <v>ITENS DIVERSOS</v>
      </c>
      <c r="C42" s="517">
        <f>Orçamento!$J$103</f>
        <v>77.94</v>
      </c>
      <c r="D42" s="520">
        <f ca="1">C42/$C$99</f>
        <v>2.3152442811590109E-4</v>
      </c>
      <c r="E42" s="6" t="s">
        <v>82</v>
      </c>
      <c r="F42" s="7">
        <v>1</v>
      </c>
      <c r="G42" s="7"/>
      <c r="H42" s="7"/>
      <c r="I42" s="8">
        <f>SUM(F42:H42)</f>
        <v>1</v>
      </c>
      <c r="K42" s="320"/>
    </row>
    <row r="43" spans="1:11" s="318" customFormat="1" ht="20.25" customHeight="1" x14ac:dyDescent="0.25">
      <c r="A43" s="512"/>
      <c r="B43" s="515"/>
      <c r="C43" s="518"/>
      <c r="D43" s="521"/>
      <c r="E43" s="9"/>
      <c r="F43" s="10"/>
      <c r="G43" s="10"/>
      <c r="H43" s="10"/>
      <c r="I43" s="11"/>
    </row>
    <row r="44" spans="1:11" s="318" customFormat="1" ht="20.25" customHeight="1" thickBot="1" x14ac:dyDescent="0.3">
      <c r="A44" s="513"/>
      <c r="B44" s="516"/>
      <c r="C44" s="519"/>
      <c r="D44" s="522"/>
      <c r="E44" s="12" t="s">
        <v>92</v>
      </c>
      <c r="F44" s="13">
        <f t="shared" ref="F44:I44" si="20">$C42*F42</f>
        <v>77.94</v>
      </c>
      <c r="G44" s="13">
        <f t="shared" si="20"/>
        <v>0</v>
      </c>
      <c r="H44" s="13">
        <f t="shared" ref="H44" si="21">$C42*H42</f>
        <v>0</v>
      </c>
      <c r="I44" s="14">
        <f t="shared" si="20"/>
        <v>77.94</v>
      </c>
      <c r="K44" s="321"/>
    </row>
    <row r="45" spans="1:11" s="318" customFormat="1" ht="20.25" customHeight="1" x14ac:dyDescent="0.25">
      <c r="A45" s="511" t="s">
        <v>174</v>
      </c>
      <c r="B45" s="514" t="str">
        <f>Orçamento!$D$105</f>
        <v xml:space="preserve">CABOS, FIAÇÕES E ACESSÓRIOS </v>
      </c>
      <c r="C45" s="517">
        <f>Orçamento!$J$105</f>
        <v>6278.4123030000001</v>
      </c>
      <c r="D45" s="520">
        <f ca="1">C45/$C$99</f>
        <v>1.8650318423504137E-2</v>
      </c>
      <c r="E45" s="6" t="s">
        <v>82</v>
      </c>
      <c r="F45" s="7">
        <v>1</v>
      </c>
      <c r="G45" s="7"/>
      <c r="H45" s="7"/>
      <c r="I45" s="8">
        <f>SUM(F45:H45)</f>
        <v>1</v>
      </c>
      <c r="K45" s="320"/>
    </row>
    <row r="46" spans="1:11" s="318" customFormat="1" ht="20.25" customHeight="1" x14ac:dyDescent="0.25">
      <c r="A46" s="512"/>
      <c r="B46" s="515"/>
      <c r="C46" s="518"/>
      <c r="D46" s="521"/>
      <c r="E46" s="9"/>
      <c r="F46" s="10"/>
      <c r="G46" s="10"/>
      <c r="H46" s="10"/>
      <c r="I46" s="11"/>
    </row>
    <row r="47" spans="1:11" s="318" customFormat="1" ht="20.25" customHeight="1" thickBot="1" x14ac:dyDescent="0.3">
      <c r="A47" s="513"/>
      <c r="B47" s="516"/>
      <c r="C47" s="519"/>
      <c r="D47" s="522"/>
      <c r="E47" s="12" t="s">
        <v>92</v>
      </c>
      <c r="F47" s="13">
        <f t="shared" ref="F47:I47" si="22">$C45*F45</f>
        <v>6278.4123030000001</v>
      </c>
      <c r="G47" s="13">
        <f t="shared" si="22"/>
        <v>0</v>
      </c>
      <c r="H47" s="13">
        <f t="shared" ref="H47" si="23">$C45*H45</f>
        <v>0</v>
      </c>
      <c r="I47" s="14">
        <f t="shared" si="22"/>
        <v>6278.4123030000001</v>
      </c>
      <c r="K47" s="321"/>
    </row>
    <row r="48" spans="1:11" s="318" customFormat="1" ht="20.25" customHeight="1" x14ac:dyDescent="0.25">
      <c r="A48" s="511" t="s">
        <v>517</v>
      </c>
      <c r="B48" s="514" t="str">
        <f>Orçamento!$D$108</f>
        <v>ACABAMENTOS ELÉTRICOS</v>
      </c>
      <c r="C48" s="517">
        <f ca="1">Orçamento!$J$108</f>
        <v>6450.4571792400002</v>
      </c>
      <c r="D48" s="520">
        <f ca="1">C48/$C$99</f>
        <v>1.9161385803305741E-2</v>
      </c>
      <c r="E48" s="6" t="s">
        <v>82</v>
      </c>
      <c r="F48" s="7"/>
      <c r="G48" s="7">
        <v>1</v>
      </c>
      <c r="H48" s="7"/>
      <c r="I48" s="8">
        <f>SUM(F48:H48)</f>
        <v>1</v>
      </c>
      <c r="K48" s="320"/>
    </row>
    <row r="49" spans="1:11" s="318" customFormat="1" ht="20.25" customHeight="1" x14ac:dyDescent="0.25">
      <c r="A49" s="512"/>
      <c r="B49" s="515"/>
      <c r="C49" s="518"/>
      <c r="D49" s="521"/>
      <c r="E49" s="9"/>
      <c r="F49" s="10"/>
      <c r="G49" s="10"/>
      <c r="H49" s="10"/>
      <c r="I49" s="11"/>
    </row>
    <row r="50" spans="1:11" s="318" customFormat="1" ht="20.25" customHeight="1" thickBot="1" x14ac:dyDescent="0.3">
      <c r="A50" s="513"/>
      <c r="B50" s="516"/>
      <c r="C50" s="519"/>
      <c r="D50" s="522"/>
      <c r="E50" s="12" t="s">
        <v>92</v>
      </c>
      <c r="F50" s="13">
        <f t="shared" ref="F50:I50" ca="1" si="24">$C48*F48</f>
        <v>0</v>
      </c>
      <c r="G50" s="13">
        <f t="shared" ca="1" si="24"/>
        <v>6450.4571792400002</v>
      </c>
      <c r="H50" s="13">
        <f t="shared" ca="1" si="24"/>
        <v>0</v>
      </c>
      <c r="I50" s="14">
        <f t="shared" ca="1" si="24"/>
        <v>6450.4571792400002</v>
      </c>
      <c r="K50" s="321"/>
    </row>
    <row r="51" spans="1:11" s="318" customFormat="1" ht="20.25" customHeight="1" x14ac:dyDescent="0.25">
      <c r="A51" s="511" t="s">
        <v>520</v>
      </c>
      <c r="B51" s="514" t="str">
        <f>Orçamento!$D$112</f>
        <v>ELETRODUTOS, CAIXAS E ACESSÓRIOS</v>
      </c>
      <c r="C51" s="517">
        <f>Orçamento!$J$112</f>
        <v>4070.1312389999998</v>
      </c>
      <c r="D51" s="520">
        <f ca="1">C51/$C$99</f>
        <v>1.2090515877163701E-2</v>
      </c>
      <c r="E51" s="6" t="s">
        <v>82</v>
      </c>
      <c r="F51" s="7">
        <v>1</v>
      </c>
      <c r="G51" s="7"/>
      <c r="H51" s="7"/>
      <c r="I51" s="8">
        <f>SUM(F51:H51)</f>
        <v>1</v>
      </c>
      <c r="K51" s="320"/>
    </row>
    <row r="52" spans="1:11" s="318" customFormat="1" ht="20.25" customHeight="1" x14ac:dyDescent="0.25">
      <c r="A52" s="512"/>
      <c r="B52" s="515"/>
      <c r="C52" s="518"/>
      <c r="D52" s="521"/>
      <c r="E52" s="9"/>
      <c r="F52" s="10"/>
      <c r="G52" s="10"/>
      <c r="H52" s="10"/>
      <c r="I52" s="11"/>
    </row>
    <row r="53" spans="1:11" s="318" customFormat="1" ht="20.25" customHeight="1" thickBot="1" x14ac:dyDescent="0.3">
      <c r="A53" s="513"/>
      <c r="B53" s="516"/>
      <c r="C53" s="519"/>
      <c r="D53" s="522"/>
      <c r="E53" s="12" t="s">
        <v>92</v>
      </c>
      <c r="F53" s="13">
        <f t="shared" ref="F53:I53" si="25">$C51*F51</f>
        <v>4070.1312389999998</v>
      </c>
      <c r="G53" s="13">
        <f t="shared" si="25"/>
        <v>0</v>
      </c>
      <c r="H53" s="13">
        <f t="shared" si="25"/>
        <v>0</v>
      </c>
      <c r="I53" s="14">
        <f t="shared" si="25"/>
        <v>4070.1312389999998</v>
      </c>
      <c r="K53" s="321"/>
    </row>
    <row r="54" spans="1:11" s="318" customFormat="1" ht="20.25" customHeight="1" x14ac:dyDescent="0.25">
      <c r="A54" s="511" t="s">
        <v>526</v>
      </c>
      <c r="B54" s="514" t="str">
        <f>Orçamento!$D$118</f>
        <v>ELETROCALHA E ACESSÓRIOS</v>
      </c>
      <c r="C54" s="517">
        <f>Orçamento!$J$118</f>
        <v>83.108141999999987</v>
      </c>
      <c r="D54" s="520">
        <f ca="1">C54/$C$99</f>
        <v>2.4687663649377851E-4</v>
      </c>
      <c r="E54" s="6" t="s">
        <v>82</v>
      </c>
      <c r="F54" s="7">
        <v>1</v>
      </c>
      <c r="G54" s="7"/>
      <c r="H54" s="7"/>
      <c r="I54" s="8">
        <f>SUM(F54:H54)</f>
        <v>1</v>
      </c>
      <c r="K54" s="320"/>
    </row>
    <row r="55" spans="1:11" s="318" customFormat="1" ht="20.25" customHeight="1" x14ac:dyDescent="0.25">
      <c r="A55" s="512"/>
      <c r="B55" s="515"/>
      <c r="C55" s="518"/>
      <c r="D55" s="521"/>
      <c r="E55" s="9"/>
      <c r="F55" s="10"/>
      <c r="G55" s="10"/>
      <c r="H55" s="10"/>
      <c r="I55" s="11"/>
    </row>
    <row r="56" spans="1:11" s="318" customFormat="1" ht="20.25" customHeight="1" thickBot="1" x14ac:dyDescent="0.3">
      <c r="A56" s="513"/>
      <c r="B56" s="516"/>
      <c r="C56" s="519"/>
      <c r="D56" s="522"/>
      <c r="E56" s="12" t="s">
        <v>92</v>
      </c>
      <c r="F56" s="13">
        <f t="shared" ref="F56:I56" si="26">$C54*F54</f>
        <v>83.108141999999987</v>
      </c>
      <c r="G56" s="13">
        <f t="shared" si="26"/>
        <v>0</v>
      </c>
      <c r="H56" s="13">
        <f t="shared" si="26"/>
        <v>0</v>
      </c>
      <c r="I56" s="14">
        <f t="shared" si="26"/>
        <v>83.108141999999987</v>
      </c>
      <c r="K56" s="321"/>
    </row>
    <row r="57" spans="1:11" s="318" customFormat="1" ht="20.25" customHeight="1" x14ac:dyDescent="0.25">
      <c r="A57" s="511" t="s">
        <v>68</v>
      </c>
      <c r="B57" s="514" t="str">
        <f>Orçamento!D125</f>
        <v>ITENS DIVERSOS</v>
      </c>
      <c r="C57" s="517">
        <f>Orçamento!J125</f>
        <v>2227.8150289999999</v>
      </c>
      <c r="D57" s="520">
        <f ca="1">C57/$C$99</f>
        <v>6.6178291062000839E-3</v>
      </c>
      <c r="E57" s="6" t="s">
        <v>82</v>
      </c>
      <c r="F57" s="7"/>
      <c r="G57" s="7">
        <v>1</v>
      </c>
      <c r="H57" s="7"/>
      <c r="I57" s="8">
        <f>SUM(F57:H57)</f>
        <v>1</v>
      </c>
      <c r="K57" s="320"/>
    </row>
    <row r="58" spans="1:11" s="318" customFormat="1" ht="20.25" customHeight="1" x14ac:dyDescent="0.25">
      <c r="A58" s="512"/>
      <c r="B58" s="515"/>
      <c r="C58" s="518"/>
      <c r="D58" s="521"/>
      <c r="E58" s="9"/>
      <c r="F58" s="10"/>
      <c r="G58" s="10"/>
      <c r="H58" s="10"/>
      <c r="I58" s="11"/>
    </row>
    <row r="59" spans="1:11" s="318" customFormat="1" ht="20.25" customHeight="1" thickBot="1" x14ac:dyDescent="0.3">
      <c r="A59" s="513"/>
      <c r="B59" s="516"/>
      <c r="C59" s="519"/>
      <c r="D59" s="522"/>
      <c r="E59" s="12" t="s">
        <v>92</v>
      </c>
      <c r="F59" s="13">
        <f t="shared" ref="F59:I59" si="27">$C57*F57</f>
        <v>0</v>
      </c>
      <c r="G59" s="13">
        <f t="shared" si="27"/>
        <v>2227.8150289999999</v>
      </c>
      <c r="H59" s="13">
        <f t="shared" si="27"/>
        <v>0</v>
      </c>
      <c r="I59" s="14">
        <f t="shared" si="27"/>
        <v>2227.8150289999999</v>
      </c>
      <c r="K59" s="321"/>
    </row>
    <row r="60" spans="1:11" s="318" customFormat="1" ht="20.25" customHeight="1" x14ac:dyDescent="0.25">
      <c r="A60" s="511" t="s">
        <v>69</v>
      </c>
      <c r="B60" s="514" t="str">
        <f>Orçamento!$D$128</f>
        <v xml:space="preserve">RACK E COMPONENTES </v>
      </c>
      <c r="C60" s="517">
        <f ca="1">Orçamento!$J$128</f>
        <v>10270.936752399999</v>
      </c>
      <c r="D60" s="520">
        <f ca="1">C60/$C$99</f>
        <v>3.0510299689684373E-2</v>
      </c>
      <c r="E60" s="6" t="s">
        <v>82</v>
      </c>
      <c r="F60" s="7"/>
      <c r="G60" s="7">
        <v>1</v>
      </c>
      <c r="H60" s="7"/>
      <c r="I60" s="8">
        <f>SUM(F60:H60)</f>
        <v>1</v>
      </c>
      <c r="K60" s="320"/>
    </row>
    <row r="61" spans="1:11" s="318" customFormat="1" ht="20.25" customHeight="1" x14ac:dyDescent="0.25">
      <c r="A61" s="512"/>
      <c r="B61" s="515"/>
      <c r="C61" s="518"/>
      <c r="D61" s="521"/>
      <c r="E61" s="9"/>
      <c r="F61" s="10"/>
      <c r="G61" s="10"/>
      <c r="H61" s="10"/>
      <c r="I61" s="11"/>
    </row>
    <row r="62" spans="1:11" s="318" customFormat="1" ht="20.25" customHeight="1" thickBot="1" x14ac:dyDescent="0.3">
      <c r="A62" s="513"/>
      <c r="B62" s="516"/>
      <c r="C62" s="519"/>
      <c r="D62" s="522"/>
      <c r="E62" s="12" t="s">
        <v>92</v>
      </c>
      <c r="F62" s="13">
        <f t="shared" ref="F62:I62" ca="1" si="28">$C60*F60</f>
        <v>0</v>
      </c>
      <c r="G62" s="13">
        <f t="shared" ca="1" si="28"/>
        <v>10270.936752399999</v>
      </c>
      <c r="H62" s="13">
        <f t="shared" ca="1" si="28"/>
        <v>0</v>
      </c>
      <c r="I62" s="14">
        <f t="shared" ca="1" si="28"/>
        <v>10270.936752399999</v>
      </c>
      <c r="K62" s="321"/>
    </row>
    <row r="63" spans="1:11" s="318" customFormat="1" ht="20.25" customHeight="1" x14ac:dyDescent="0.25">
      <c r="A63" s="511" t="s">
        <v>70</v>
      </c>
      <c r="B63" s="514" t="str">
        <f>Orçamento!$D$139</f>
        <v>CABOS, TOMADAS E ACESSÓRIOS</v>
      </c>
      <c r="C63" s="517">
        <f>Orçamento!$J$139</f>
        <v>21838.776918</v>
      </c>
      <c r="D63" s="520">
        <f ca="1">C63/$C$99</f>
        <v>6.4873111838474343E-2</v>
      </c>
      <c r="E63" s="6" t="s">
        <v>82</v>
      </c>
      <c r="F63" s="7"/>
      <c r="G63" s="7">
        <v>1</v>
      </c>
      <c r="H63" s="7"/>
      <c r="I63" s="8">
        <f>SUM(F63:H63)</f>
        <v>1</v>
      </c>
      <c r="K63" s="320"/>
    </row>
    <row r="64" spans="1:11" s="318" customFormat="1" ht="20.25" customHeight="1" x14ac:dyDescent="0.25">
      <c r="A64" s="512"/>
      <c r="B64" s="515"/>
      <c r="C64" s="518"/>
      <c r="D64" s="521"/>
      <c r="E64" s="9"/>
      <c r="F64" s="10"/>
      <c r="G64" s="10"/>
      <c r="H64" s="10"/>
      <c r="I64" s="11"/>
    </row>
    <row r="65" spans="1:11" s="318" customFormat="1" ht="20.25" customHeight="1" thickBot="1" x14ac:dyDescent="0.3">
      <c r="A65" s="513"/>
      <c r="B65" s="516"/>
      <c r="C65" s="519"/>
      <c r="D65" s="522"/>
      <c r="E65" s="12" t="s">
        <v>92</v>
      </c>
      <c r="F65" s="13">
        <f t="shared" ref="F65:I65" si="29">$C63*F63</f>
        <v>0</v>
      </c>
      <c r="G65" s="13">
        <f t="shared" si="29"/>
        <v>21838.776918</v>
      </c>
      <c r="H65" s="13">
        <f t="shared" si="29"/>
        <v>0</v>
      </c>
      <c r="I65" s="14">
        <f t="shared" si="29"/>
        <v>21838.776918</v>
      </c>
      <c r="K65" s="321"/>
    </row>
    <row r="66" spans="1:11" s="318" customFormat="1" ht="20.25" customHeight="1" x14ac:dyDescent="0.25">
      <c r="A66" s="511" t="s">
        <v>71</v>
      </c>
      <c r="B66" s="514" t="str">
        <f>Orçamento!$D$143</f>
        <v>CERTIFICAÇÃO E TESTES</v>
      </c>
      <c r="C66" s="517">
        <f>Orçamento!$J$143</f>
        <v>706.89684</v>
      </c>
      <c r="D66" s="520">
        <f ca="1">C66/$C$99</f>
        <v>2.0998702414413346E-3</v>
      </c>
      <c r="E66" s="6" t="s">
        <v>82</v>
      </c>
      <c r="F66" s="7"/>
      <c r="G66" s="7">
        <v>1</v>
      </c>
      <c r="H66" s="7"/>
      <c r="I66" s="8">
        <f>SUM(F66:H66)</f>
        <v>1</v>
      </c>
      <c r="K66" s="320"/>
    </row>
    <row r="67" spans="1:11" s="318" customFormat="1" ht="20.25" customHeight="1" x14ac:dyDescent="0.25">
      <c r="A67" s="512"/>
      <c r="B67" s="515"/>
      <c r="C67" s="518"/>
      <c r="D67" s="521"/>
      <c r="E67" s="9"/>
      <c r="F67" s="10"/>
      <c r="G67" s="10"/>
      <c r="H67" s="10"/>
      <c r="I67" s="11"/>
    </row>
    <row r="68" spans="1:11" s="318" customFormat="1" ht="20.25" customHeight="1" thickBot="1" x14ac:dyDescent="0.3">
      <c r="A68" s="513"/>
      <c r="B68" s="516"/>
      <c r="C68" s="519"/>
      <c r="D68" s="522"/>
      <c r="E68" s="12" t="s">
        <v>92</v>
      </c>
      <c r="F68" s="13">
        <f t="shared" ref="F68:I68" si="30">$C66*F66</f>
        <v>0</v>
      </c>
      <c r="G68" s="13">
        <f t="shared" si="30"/>
        <v>706.89684</v>
      </c>
      <c r="H68" s="13">
        <f t="shared" si="30"/>
        <v>0</v>
      </c>
      <c r="I68" s="14">
        <f t="shared" si="30"/>
        <v>706.89684</v>
      </c>
      <c r="K68" s="321"/>
    </row>
    <row r="69" spans="1:11" s="318" customFormat="1" ht="20.25" customHeight="1" x14ac:dyDescent="0.25">
      <c r="A69" s="511" t="s">
        <v>72</v>
      </c>
      <c r="B69" s="514" t="str">
        <f>Orçamento!$D$145</f>
        <v>ELETRODUTOS, CAIXAS E ACESSÓRIOS</v>
      </c>
      <c r="C69" s="517">
        <f>Orçamento!$J$145</f>
        <v>7781.8246301999998</v>
      </c>
      <c r="D69" s="520">
        <f ca="1">C69/$C$99</f>
        <v>2.3116275304147914E-2</v>
      </c>
      <c r="E69" s="6" t="s">
        <v>82</v>
      </c>
      <c r="F69" s="7">
        <v>1</v>
      </c>
      <c r="G69" s="7"/>
      <c r="H69" s="7"/>
      <c r="I69" s="8">
        <f>SUM(F69:H69)</f>
        <v>1</v>
      </c>
      <c r="K69" s="320"/>
    </row>
    <row r="70" spans="1:11" s="318" customFormat="1" ht="20.25" customHeight="1" x14ac:dyDescent="0.25">
      <c r="A70" s="512"/>
      <c r="B70" s="515"/>
      <c r="C70" s="518"/>
      <c r="D70" s="521"/>
      <c r="E70" s="9"/>
      <c r="F70" s="10"/>
      <c r="G70" s="10"/>
      <c r="H70" s="10"/>
      <c r="I70" s="11"/>
    </row>
    <row r="71" spans="1:11" s="318" customFormat="1" ht="20.25" customHeight="1" thickBot="1" x14ac:dyDescent="0.3">
      <c r="A71" s="513"/>
      <c r="B71" s="516"/>
      <c r="C71" s="519"/>
      <c r="D71" s="522"/>
      <c r="E71" s="12" t="s">
        <v>92</v>
      </c>
      <c r="F71" s="13">
        <f t="shared" ref="F71:I71" si="31">$C69*F69</f>
        <v>7781.8246301999998</v>
      </c>
      <c r="G71" s="13">
        <f t="shared" si="31"/>
        <v>0</v>
      </c>
      <c r="H71" s="13">
        <f t="shared" si="31"/>
        <v>0</v>
      </c>
      <c r="I71" s="14">
        <f t="shared" si="31"/>
        <v>7781.8246301999998</v>
      </c>
      <c r="K71" s="321"/>
    </row>
    <row r="72" spans="1:11" s="318" customFormat="1" ht="20.25" customHeight="1" x14ac:dyDescent="0.25">
      <c r="A72" s="511" t="s">
        <v>742</v>
      </c>
      <c r="B72" s="514" t="str">
        <f>Orçamento!$D$154</f>
        <v>ELETROCALHA E ACESSÓRIOS</v>
      </c>
      <c r="C72" s="517">
        <f>Orçamento!$J$154</f>
        <v>145.69031200000001</v>
      </c>
      <c r="D72" s="520">
        <f ca="1">C72/$C$99</f>
        <v>4.327799097745343E-4</v>
      </c>
      <c r="E72" s="6" t="s">
        <v>82</v>
      </c>
      <c r="F72" s="7">
        <v>1</v>
      </c>
      <c r="G72" s="7"/>
      <c r="H72" s="7"/>
      <c r="I72" s="8">
        <f>SUM(F72:H72)</f>
        <v>1</v>
      </c>
      <c r="K72" s="320"/>
    </row>
    <row r="73" spans="1:11" s="318" customFormat="1" ht="20.25" customHeight="1" x14ac:dyDescent="0.25">
      <c r="A73" s="512"/>
      <c r="B73" s="515"/>
      <c r="C73" s="518"/>
      <c r="D73" s="521"/>
      <c r="E73" s="9"/>
      <c r="F73" s="10"/>
      <c r="G73" s="10"/>
      <c r="H73" s="10"/>
      <c r="I73" s="11"/>
    </row>
    <row r="74" spans="1:11" s="318" customFormat="1" ht="20.25" customHeight="1" thickBot="1" x14ac:dyDescent="0.3">
      <c r="A74" s="513"/>
      <c r="B74" s="516"/>
      <c r="C74" s="519"/>
      <c r="D74" s="522"/>
      <c r="E74" s="12" t="s">
        <v>92</v>
      </c>
      <c r="F74" s="13">
        <f t="shared" ref="F74:I74" si="32">$C72*F72</f>
        <v>145.69031200000001</v>
      </c>
      <c r="G74" s="13">
        <f t="shared" si="32"/>
        <v>0</v>
      </c>
      <c r="H74" s="13">
        <f t="shared" si="32"/>
        <v>0</v>
      </c>
      <c r="I74" s="14">
        <f t="shared" si="32"/>
        <v>145.69031200000001</v>
      </c>
      <c r="K74" s="321"/>
    </row>
    <row r="75" spans="1:11" s="318" customFormat="1" ht="20.25" customHeight="1" x14ac:dyDescent="0.25">
      <c r="A75" s="511" t="s">
        <v>95</v>
      </c>
      <c r="B75" s="514" t="str">
        <f>Orçamento!$D$160</f>
        <v>SISTEMA PCI</v>
      </c>
      <c r="C75" s="517">
        <f>Orçamento!$J$160</f>
        <v>724.36106199999995</v>
      </c>
      <c r="D75" s="520">
        <f ca="1">C75/$C$99</f>
        <v>2.1517485325760425E-3</v>
      </c>
      <c r="E75" s="6" t="s">
        <v>82</v>
      </c>
      <c r="F75" s="7"/>
      <c r="G75" s="7">
        <v>1</v>
      </c>
      <c r="H75" s="7"/>
      <c r="I75" s="8">
        <f>SUM(F75:H75)</f>
        <v>1</v>
      </c>
      <c r="K75" s="320"/>
    </row>
    <row r="76" spans="1:11" s="318" customFormat="1" ht="20.25" customHeight="1" x14ac:dyDescent="0.25">
      <c r="A76" s="512"/>
      <c r="B76" s="515"/>
      <c r="C76" s="518"/>
      <c r="D76" s="521"/>
      <c r="E76" s="9"/>
      <c r="F76" s="10"/>
      <c r="G76" s="10"/>
      <c r="H76" s="10"/>
      <c r="I76" s="11"/>
    </row>
    <row r="77" spans="1:11" s="318" customFormat="1" ht="20.25" customHeight="1" thickBot="1" x14ac:dyDescent="0.3">
      <c r="A77" s="513"/>
      <c r="B77" s="516"/>
      <c r="C77" s="519"/>
      <c r="D77" s="522"/>
      <c r="E77" s="12" t="s">
        <v>92</v>
      </c>
      <c r="F77" s="13">
        <f t="shared" ref="F77:I77" si="33">$C75*F75</f>
        <v>0</v>
      </c>
      <c r="G77" s="13">
        <f t="shared" si="33"/>
        <v>724.36106199999995</v>
      </c>
      <c r="H77" s="13">
        <f t="shared" ref="H77" si="34">$C75*H75</f>
        <v>0</v>
      </c>
      <c r="I77" s="14">
        <f t="shared" si="33"/>
        <v>724.36106199999995</v>
      </c>
      <c r="K77" s="321"/>
    </row>
    <row r="78" spans="1:11" s="318" customFormat="1" ht="20.25" customHeight="1" x14ac:dyDescent="0.25">
      <c r="A78" s="511" t="s">
        <v>96</v>
      </c>
      <c r="B78" s="514" t="str">
        <f>Orçamento!$D$165</f>
        <v>AR CONDICIONADO</v>
      </c>
      <c r="C78" s="517">
        <f ca="1">Orçamento!$J$165</f>
        <v>15991.561833095</v>
      </c>
      <c r="D78" s="520">
        <f ca="1">C78/$C$99</f>
        <v>4.7503684989573913E-2</v>
      </c>
      <c r="E78" s="6" t="s">
        <v>82</v>
      </c>
      <c r="F78" s="7"/>
      <c r="G78" s="7">
        <v>1</v>
      </c>
      <c r="H78" s="7"/>
      <c r="I78" s="8">
        <f>SUM(F78:H78)</f>
        <v>1</v>
      </c>
      <c r="K78" s="320"/>
    </row>
    <row r="79" spans="1:11" s="318" customFormat="1" ht="20.25" customHeight="1" x14ac:dyDescent="0.25">
      <c r="A79" s="512"/>
      <c r="B79" s="515"/>
      <c r="C79" s="518"/>
      <c r="D79" s="521"/>
      <c r="E79" s="9"/>
      <c r="F79" s="10"/>
      <c r="G79" s="10"/>
      <c r="H79" s="10"/>
      <c r="I79" s="11"/>
    </row>
    <row r="80" spans="1:11" s="318" customFormat="1" ht="20.25" customHeight="1" thickBot="1" x14ac:dyDescent="0.3">
      <c r="A80" s="513"/>
      <c r="B80" s="516"/>
      <c r="C80" s="519"/>
      <c r="D80" s="522"/>
      <c r="E80" s="12" t="s">
        <v>92</v>
      </c>
      <c r="F80" s="13">
        <f t="shared" ref="F80:I80" ca="1" si="35">$C78*F78</f>
        <v>0</v>
      </c>
      <c r="G80" s="13">
        <f t="shared" ca="1" si="35"/>
        <v>15991.561833095</v>
      </c>
      <c r="H80" s="13">
        <f t="shared" ref="H80" ca="1" si="36">$C78*H78</f>
        <v>0</v>
      </c>
      <c r="I80" s="14">
        <f t="shared" ca="1" si="35"/>
        <v>15991.561833095</v>
      </c>
      <c r="K80" s="321"/>
    </row>
    <row r="81" spans="1:11" s="318" customFormat="1" ht="20.25" customHeight="1" x14ac:dyDescent="0.25">
      <c r="A81" s="511" t="s">
        <v>248</v>
      </c>
      <c r="B81" s="514" t="str">
        <f>Orçamento!$D$182</f>
        <v>ESQUADRIAS</v>
      </c>
      <c r="C81" s="517">
        <f ca="1">Orçamento!$J$182</f>
        <v>65414.154032999999</v>
      </c>
      <c r="D81" s="520">
        <f ca="1">C81/$C$99</f>
        <v>0.19431581477002552</v>
      </c>
      <c r="E81" s="6" t="s">
        <v>82</v>
      </c>
      <c r="F81" s="7"/>
      <c r="G81" s="7">
        <v>1</v>
      </c>
      <c r="H81" s="7"/>
      <c r="I81" s="8">
        <f>SUM(F81:H81)</f>
        <v>1</v>
      </c>
      <c r="K81" s="320"/>
    </row>
    <row r="82" spans="1:11" s="318" customFormat="1" ht="20.25" customHeight="1" x14ac:dyDescent="0.25">
      <c r="A82" s="512"/>
      <c r="B82" s="515"/>
      <c r="C82" s="518"/>
      <c r="D82" s="521"/>
      <c r="E82" s="9"/>
      <c r="F82" s="10"/>
      <c r="G82" s="10"/>
      <c r="H82" s="10"/>
      <c r="I82" s="11"/>
    </row>
    <row r="83" spans="1:11" s="318" customFormat="1" ht="20.25" customHeight="1" thickBot="1" x14ac:dyDescent="0.3">
      <c r="A83" s="513"/>
      <c r="B83" s="516"/>
      <c r="C83" s="519"/>
      <c r="D83" s="522"/>
      <c r="E83" s="12" t="s">
        <v>92</v>
      </c>
      <c r="F83" s="13">
        <f t="shared" ref="F83:I83" ca="1" si="37">$C81*F81</f>
        <v>0</v>
      </c>
      <c r="G83" s="13">
        <f t="shared" ca="1" si="37"/>
        <v>65414.154032999999</v>
      </c>
      <c r="H83" s="13">
        <f t="shared" ref="H83" ca="1" si="38">$C81*H81</f>
        <v>0</v>
      </c>
      <c r="I83" s="14">
        <f t="shared" ca="1" si="37"/>
        <v>65414.154032999999</v>
      </c>
      <c r="K83" s="321"/>
    </row>
    <row r="84" spans="1:11" s="318" customFormat="1" ht="20.25" customHeight="1" x14ac:dyDescent="0.25">
      <c r="A84" s="511" t="s">
        <v>249</v>
      </c>
      <c r="B84" s="542" t="str">
        <f>Orçamento!$D$189</f>
        <v>PINTURA</v>
      </c>
      <c r="C84" s="517">
        <f>Orçamento!$J$189</f>
        <v>20062.896358584298</v>
      </c>
      <c r="D84" s="548">
        <f ca="1">C84/$C$99</f>
        <v>5.9597775285730355E-2</v>
      </c>
      <c r="E84" s="6" t="s">
        <v>82</v>
      </c>
      <c r="F84" s="7"/>
      <c r="G84" s="7">
        <v>1</v>
      </c>
      <c r="H84" s="7"/>
      <c r="I84" s="8">
        <f>SUM(F84:H84)</f>
        <v>1</v>
      </c>
    </row>
    <row r="85" spans="1:11" s="318" customFormat="1" ht="20.25" customHeight="1" x14ac:dyDescent="0.25">
      <c r="A85" s="512"/>
      <c r="B85" s="543"/>
      <c r="C85" s="518"/>
      <c r="D85" s="549"/>
      <c r="E85" s="9"/>
      <c r="F85" s="10"/>
      <c r="G85" s="10"/>
      <c r="H85" s="10"/>
      <c r="I85" s="11"/>
    </row>
    <row r="86" spans="1:11" s="318" customFormat="1" ht="20.25" customHeight="1" thickBot="1" x14ac:dyDescent="0.3">
      <c r="A86" s="513"/>
      <c r="B86" s="544"/>
      <c r="C86" s="519"/>
      <c r="D86" s="550"/>
      <c r="E86" s="12" t="s">
        <v>92</v>
      </c>
      <c r="F86" s="13">
        <f t="shared" ref="F86:I86" si="39">$C84*F84</f>
        <v>0</v>
      </c>
      <c r="G86" s="13">
        <f t="shared" si="39"/>
        <v>20062.896358584298</v>
      </c>
      <c r="H86" s="13">
        <f t="shared" ref="H86" si="40">$C84*H84</f>
        <v>0</v>
      </c>
      <c r="I86" s="14">
        <f t="shared" si="39"/>
        <v>20062.896358584298</v>
      </c>
    </row>
    <row r="87" spans="1:11" s="318" customFormat="1" ht="20.25" customHeight="1" x14ac:dyDescent="0.25">
      <c r="A87" s="511" t="s">
        <v>250</v>
      </c>
      <c r="B87" s="541" t="str">
        <f>Orçamento!$D$196</f>
        <v xml:space="preserve">PAISAGISMO </v>
      </c>
      <c r="C87" s="517">
        <f ca="1">Orçamento!$J$196</f>
        <v>3904.0986599999997</v>
      </c>
      <c r="D87" s="520">
        <f ca="1">C87/$C$99</f>
        <v>1.1597308308500842E-2</v>
      </c>
      <c r="E87" s="6" t="s">
        <v>82</v>
      </c>
      <c r="F87" s="7"/>
      <c r="G87" s="7"/>
      <c r="H87" s="7">
        <v>1</v>
      </c>
      <c r="I87" s="8">
        <f>SUM(F87:H87)</f>
        <v>1</v>
      </c>
    </row>
    <row r="88" spans="1:11" s="318" customFormat="1" ht="20.25" customHeight="1" x14ac:dyDescent="0.25">
      <c r="A88" s="512"/>
      <c r="B88" s="515"/>
      <c r="C88" s="518"/>
      <c r="D88" s="521"/>
      <c r="E88" s="9"/>
      <c r="F88" s="10"/>
      <c r="G88" s="10"/>
      <c r="H88" s="10"/>
      <c r="I88" s="11"/>
    </row>
    <row r="89" spans="1:11" s="318" customFormat="1" ht="20.25" customHeight="1" thickBot="1" x14ac:dyDescent="0.3">
      <c r="A89" s="513"/>
      <c r="B89" s="516"/>
      <c r="C89" s="519"/>
      <c r="D89" s="522"/>
      <c r="E89" s="12" t="s">
        <v>92</v>
      </c>
      <c r="F89" s="13">
        <f t="shared" ref="F89:I89" ca="1" si="41">$C87*F87</f>
        <v>0</v>
      </c>
      <c r="G89" s="13">
        <f t="shared" ca="1" si="41"/>
        <v>0</v>
      </c>
      <c r="H89" s="13">
        <f t="shared" ref="H89" ca="1" si="42">$C87*H87</f>
        <v>3904.0986599999997</v>
      </c>
      <c r="I89" s="14">
        <f t="shared" ca="1" si="41"/>
        <v>3904.0986599999997</v>
      </c>
    </row>
    <row r="90" spans="1:11" s="318" customFormat="1" ht="20.25" customHeight="1" x14ac:dyDescent="0.25">
      <c r="A90" s="511" t="s">
        <v>251</v>
      </c>
      <c r="B90" s="542" t="str">
        <f>Orçamento!$D$199</f>
        <v>CORTINAS E MOBILIÁRIOS</v>
      </c>
      <c r="C90" s="517">
        <f>Orçamento!$J$199</f>
        <v>5420.8161279999995</v>
      </c>
      <c r="D90" s="548">
        <f ca="1">C90/$C$99</f>
        <v>1.6102788734368143E-2</v>
      </c>
      <c r="E90" s="6" t="s">
        <v>82</v>
      </c>
      <c r="F90" s="7"/>
      <c r="G90" s="7"/>
      <c r="H90" s="7">
        <v>1</v>
      </c>
      <c r="I90" s="8">
        <f>SUM(F90:H90)</f>
        <v>1</v>
      </c>
    </row>
    <row r="91" spans="1:11" s="318" customFormat="1" ht="20.25" customHeight="1" x14ac:dyDescent="0.25">
      <c r="A91" s="512"/>
      <c r="B91" s="543"/>
      <c r="C91" s="518"/>
      <c r="D91" s="549"/>
      <c r="E91" s="9"/>
      <c r="F91" s="10"/>
      <c r="G91" s="10"/>
      <c r="H91" s="10"/>
      <c r="I91" s="11"/>
    </row>
    <row r="92" spans="1:11" s="318" customFormat="1" ht="20.25" customHeight="1" thickBot="1" x14ac:dyDescent="0.3">
      <c r="A92" s="513"/>
      <c r="B92" s="544"/>
      <c r="C92" s="519"/>
      <c r="D92" s="550"/>
      <c r="E92" s="12" t="s">
        <v>92</v>
      </c>
      <c r="F92" s="13">
        <f t="shared" ref="F92:I92" si="43">$C90*F90</f>
        <v>0</v>
      </c>
      <c r="G92" s="13">
        <f t="shared" si="43"/>
        <v>0</v>
      </c>
      <c r="H92" s="13">
        <f t="shared" ref="H92" si="44">$C90*H90</f>
        <v>5420.8161279999995</v>
      </c>
      <c r="I92" s="14">
        <f t="shared" si="43"/>
        <v>5420.8161279999995</v>
      </c>
    </row>
    <row r="93" spans="1:11" s="318" customFormat="1" ht="20.25" customHeight="1" x14ac:dyDescent="0.25">
      <c r="A93" s="511" t="s">
        <v>252</v>
      </c>
      <c r="B93" s="542" t="str">
        <f>Orçamento!D203</f>
        <v>COBERTURA</v>
      </c>
      <c r="C93" s="517">
        <f>Orçamento!J203</f>
        <v>2699.8518235849997</v>
      </c>
      <c r="D93" s="548">
        <f ca="1">C93/$C$99</f>
        <v>8.0200365595738989E-3</v>
      </c>
      <c r="E93" s="6" t="s">
        <v>82</v>
      </c>
      <c r="F93" s="7">
        <v>0.5</v>
      </c>
      <c r="G93" s="7">
        <v>0.5</v>
      </c>
      <c r="H93" s="7"/>
      <c r="I93" s="8">
        <f>SUM(F93:H93)</f>
        <v>1</v>
      </c>
    </row>
    <row r="94" spans="1:11" s="318" customFormat="1" ht="20.25" customHeight="1" x14ac:dyDescent="0.25">
      <c r="A94" s="512"/>
      <c r="B94" s="543"/>
      <c r="C94" s="518"/>
      <c r="D94" s="549"/>
      <c r="E94" s="9"/>
      <c r="F94" s="10"/>
      <c r="G94" s="10"/>
      <c r="H94" s="10"/>
      <c r="I94" s="11"/>
    </row>
    <row r="95" spans="1:11" s="318" customFormat="1" ht="20.25" customHeight="1" thickBot="1" x14ac:dyDescent="0.3">
      <c r="A95" s="513"/>
      <c r="B95" s="544"/>
      <c r="C95" s="519"/>
      <c r="D95" s="550"/>
      <c r="E95" s="12" t="s">
        <v>92</v>
      </c>
      <c r="F95" s="13">
        <f t="shared" ref="F95:I95" si="45">$C93*F93</f>
        <v>1349.9259117924998</v>
      </c>
      <c r="G95" s="13">
        <f t="shared" si="45"/>
        <v>1349.9259117924998</v>
      </c>
      <c r="H95" s="13">
        <f t="shared" si="45"/>
        <v>0</v>
      </c>
      <c r="I95" s="14">
        <f t="shared" si="45"/>
        <v>2699.8518235849997</v>
      </c>
    </row>
    <row r="96" spans="1:11" s="318" customFormat="1" ht="20.25" customHeight="1" x14ac:dyDescent="0.25">
      <c r="A96" s="511" t="s">
        <v>769</v>
      </c>
      <c r="B96" s="541" t="str">
        <f>Orçamento!$D$207</f>
        <v xml:space="preserve">LIMPEZA GERAL </v>
      </c>
      <c r="C96" s="517">
        <f ca="1">Orçamento!$J$207</f>
        <v>11199.48075634809</v>
      </c>
      <c r="D96" s="520">
        <f ca="1">C96/$C$99</f>
        <v>3.3268583234648846E-2</v>
      </c>
      <c r="E96" s="6" t="s">
        <v>82</v>
      </c>
      <c r="F96" s="7"/>
      <c r="G96" s="7">
        <v>0.7</v>
      </c>
      <c r="H96" s="7">
        <v>0.3</v>
      </c>
      <c r="I96" s="8">
        <f>SUM(F96:H96)</f>
        <v>1</v>
      </c>
    </row>
    <row r="97" spans="1:9" s="318" customFormat="1" ht="20.25" customHeight="1" x14ac:dyDescent="0.25">
      <c r="A97" s="512"/>
      <c r="B97" s="515"/>
      <c r="C97" s="518"/>
      <c r="D97" s="521"/>
      <c r="E97" s="9"/>
      <c r="F97" s="10"/>
      <c r="G97" s="10"/>
      <c r="H97" s="10"/>
      <c r="I97" s="11"/>
    </row>
    <row r="98" spans="1:9" s="318" customFormat="1" ht="20.25" customHeight="1" thickBot="1" x14ac:dyDescent="0.3">
      <c r="A98" s="513"/>
      <c r="B98" s="516"/>
      <c r="C98" s="519"/>
      <c r="D98" s="522"/>
      <c r="E98" s="12" t="s">
        <v>92</v>
      </c>
      <c r="F98" s="13">
        <f t="shared" ref="F98:I98" ca="1" si="46">$C96*F96</f>
        <v>0</v>
      </c>
      <c r="G98" s="13">
        <f t="shared" ca="1" si="46"/>
        <v>7839.6365294436628</v>
      </c>
      <c r="H98" s="13">
        <f t="shared" ref="H98" ca="1" si="47">$C96*H96</f>
        <v>3359.8442269044267</v>
      </c>
      <c r="I98" s="14">
        <f t="shared" ca="1" si="46"/>
        <v>11199.48075634809</v>
      </c>
    </row>
    <row r="99" spans="1:9" s="318" customFormat="1" ht="20.25" customHeight="1" thickBot="1" x14ac:dyDescent="0.3">
      <c r="A99" s="19" t="s">
        <v>0</v>
      </c>
      <c r="B99" s="20"/>
      <c r="C99" s="21">
        <f ca="1">SUM(C9:C98)</f>
        <v>336638.34366965049</v>
      </c>
      <c r="D99" s="22">
        <f ca="1">SUM(D9:D98)</f>
        <v>1</v>
      </c>
      <c r="E99" s="15" t="s">
        <v>92</v>
      </c>
      <c r="F99" s="16">
        <f ca="1">SUM(F$11,F$14,F$17,F$20,F$23,F$26,F$29,,F$32,F$35,F$38,F$41,F$44,F$47,F$50,F$53,F$56,F$62,F$65,F$68,F$71,F$74,F$77,F$80,F$83,F$86,F$89,F$92,F$98,F95,F59)</f>
        <v>67532.25409832444</v>
      </c>
      <c r="G99" s="125">
        <f t="shared" ref="G99:H99" ca="1" si="48">SUM(G$11,G$14,G$17,G$20,G$23,G$26,G$29,,G$32,G$35,G$38,G$41,G$44,G$47,G$50,G$53,G$56,G$62,G$65,G$68,G$71,G$74,G$77,G$80,G$83,G$86,G$89,G$92,G$98,G95,G59)</f>
        <v>240184.7675782874</v>
      </c>
      <c r="H99" s="125">
        <f t="shared" ca="1" si="48"/>
        <v>28921.321993038669</v>
      </c>
      <c r="I99" s="134">
        <f ca="1">SUM(I98,I95,I92,I89,I86,I83,I80,I77,I74,I71,I68,I65,I62,I59,I56,I53,I50,I47,I44,I41,I38,I35,I32,I29,I26,I23,I20,I17,I14,I11)</f>
        <v>336638.34366965055</v>
      </c>
    </row>
    <row r="100" spans="1:9" s="318" customFormat="1" ht="20.25" customHeight="1" thickBot="1" x14ac:dyDescent="0.3">
      <c r="A100" s="545" t="s">
        <v>93</v>
      </c>
      <c r="B100" s="546"/>
      <c r="C100" s="546"/>
      <c r="D100" s="547"/>
      <c r="E100" s="17" t="s">
        <v>92</v>
      </c>
      <c r="F100" s="18">
        <f ca="1">F99</f>
        <v>67532.25409832444</v>
      </c>
      <c r="G100" s="14">
        <f t="shared" ref="G100" ca="1" si="49">F100+G99</f>
        <v>307717.02167661185</v>
      </c>
      <c r="H100" s="14">
        <f ca="1">G100+H99</f>
        <v>336638.34366965049</v>
      </c>
      <c r="I100" s="126"/>
    </row>
  </sheetData>
  <mergeCells count="131">
    <mergeCell ref="A93:A95"/>
    <mergeCell ref="B93:B95"/>
    <mergeCell ref="C93:C95"/>
    <mergeCell ref="D93:D95"/>
    <mergeCell ref="A90:A92"/>
    <mergeCell ref="B90:B92"/>
    <mergeCell ref="C90:C92"/>
    <mergeCell ref="D90:D92"/>
    <mergeCell ref="A78:A80"/>
    <mergeCell ref="B78:B80"/>
    <mergeCell ref="A24:A26"/>
    <mergeCell ref="B24:B26"/>
    <mergeCell ref="C24:C26"/>
    <mergeCell ref="D24:D26"/>
    <mergeCell ref="C78:C80"/>
    <mergeCell ref="D78:D80"/>
    <mergeCell ref="D84:D86"/>
    <mergeCell ref="A87:A89"/>
    <mergeCell ref="B87:B89"/>
    <mergeCell ref="C87:C89"/>
    <mergeCell ref="D87:D89"/>
    <mergeCell ref="A39:A41"/>
    <mergeCell ref="B39:B41"/>
    <mergeCell ref="C39:C41"/>
    <mergeCell ref="D39:D41"/>
    <mergeCell ref="A48:A50"/>
    <mergeCell ref="B48:B50"/>
    <mergeCell ref="C48:C50"/>
    <mergeCell ref="D36:D38"/>
    <mergeCell ref="A60:A62"/>
    <mergeCell ref="B60:B62"/>
    <mergeCell ref="C60:C62"/>
    <mergeCell ref="D60:D62"/>
    <mergeCell ref="A63:A65"/>
    <mergeCell ref="B4:H4"/>
    <mergeCell ref="B3:H3"/>
    <mergeCell ref="B2:H2"/>
    <mergeCell ref="A1:I1"/>
    <mergeCell ref="A100:D100"/>
    <mergeCell ref="A81:A83"/>
    <mergeCell ref="B81:B83"/>
    <mergeCell ref="C81:C83"/>
    <mergeCell ref="D81:D83"/>
    <mergeCell ref="A42:A44"/>
    <mergeCell ref="B42:B44"/>
    <mergeCell ref="C42:C44"/>
    <mergeCell ref="D42:D44"/>
    <mergeCell ref="A45:A47"/>
    <mergeCell ref="B45:B47"/>
    <mergeCell ref="C45:C47"/>
    <mergeCell ref="D45:D47"/>
    <mergeCell ref="A75:A77"/>
    <mergeCell ref="B75:B77"/>
    <mergeCell ref="C75:C77"/>
    <mergeCell ref="D75:D77"/>
    <mergeCell ref="A96:A98"/>
    <mergeCell ref="B96:B98"/>
    <mergeCell ref="C96:C98"/>
    <mergeCell ref="D96:D98"/>
    <mergeCell ref="A84:A86"/>
    <mergeCell ref="B84:B86"/>
    <mergeCell ref="C84:C86"/>
    <mergeCell ref="A21:A23"/>
    <mergeCell ref="B21:B23"/>
    <mergeCell ref="C21:C23"/>
    <mergeCell ref="D21:D23"/>
    <mergeCell ref="A27:A29"/>
    <mergeCell ref="B27:B29"/>
    <mergeCell ref="C27:C29"/>
    <mergeCell ref="D27:D29"/>
    <mergeCell ref="A30:A32"/>
    <mergeCell ref="B30:B32"/>
    <mergeCell ref="C30:C32"/>
    <mergeCell ref="D30:D32"/>
    <mergeCell ref="D48:D50"/>
    <mergeCell ref="A33:A35"/>
    <mergeCell ref="B33:B35"/>
    <mergeCell ref="C33:C35"/>
    <mergeCell ref="D33:D35"/>
    <mergeCell ref="A36:A38"/>
    <mergeCell ref="B36:B38"/>
    <mergeCell ref="C36:C38"/>
    <mergeCell ref="A5:I5"/>
    <mergeCell ref="A6:I6"/>
    <mergeCell ref="A7:A8"/>
    <mergeCell ref="B7:B8"/>
    <mergeCell ref="C7:E8"/>
    <mergeCell ref="F7:I7"/>
    <mergeCell ref="A18:A20"/>
    <mergeCell ref="B18:B20"/>
    <mergeCell ref="C18:C20"/>
    <mergeCell ref="D18:D20"/>
    <mergeCell ref="A15:A17"/>
    <mergeCell ref="B15:B17"/>
    <mergeCell ref="C15:C17"/>
    <mergeCell ref="D15:D17"/>
    <mergeCell ref="A9:A11"/>
    <mergeCell ref="B9:B11"/>
    <mergeCell ref="C9:C11"/>
    <mergeCell ref="D9:D11"/>
    <mergeCell ref="A12:A14"/>
    <mergeCell ref="B12:B14"/>
    <mergeCell ref="C12:C14"/>
    <mergeCell ref="D12:D14"/>
    <mergeCell ref="B63:B65"/>
    <mergeCell ref="C63:C65"/>
    <mergeCell ref="D63:D65"/>
    <mergeCell ref="A51:A53"/>
    <mergeCell ref="B51:B53"/>
    <mergeCell ref="C51:C53"/>
    <mergeCell ref="D51:D53"/>
    <mergeCell ref="A54:A56"/>
    <mergeCell ref="B54:B56"/>
    <mergeCell ref="C54:C56"/>
    <mergeCell ref="D54:D56"/>
    <mergeCell ref="A57:A59"/>
    <mergeCell ref="B57:B59"/>
    <mergeCell ref="C57:C59"/>
    <mergeCell ref="D57:D59"/>
    <mergeCell ref="A72:A74"/>
    <mergeCell ref="B72:B74"/>
    <mergeCell ref="C72:C74"/>
    <mergeCell ref="D72:D74"/>
    <mergeCell ref="A66:A68"/>
    <mergeCell ref="B66:B68"/>
    <mergeCell ref="C66:C68"/>
    <mergeCell ref="D66:D68"/>
    <mergeCell ref="A69:A71"/>
    <mergeCell ref="B69:B71"/>
    <mergeCell ref="C69:C71"/>
    <mergeCell ref="D69:D71"/>
  </mergeCells>
  <phoneticPr fontId="19" type="noConversion"/>
  <conditionalFormatting sqref="F10:H10 F13:H13 F16:H16 F19:H19 F22:H22 F25:H25 F28:H28 F31:H31 F34:H34 F37:H37 F40:H40 F43:H43 F46:H46 F49:H49 F52:H52 F55:H55 F61:H61 F64:H64 F67:H67 F70:H70 F73:H73 F76:H76 F79:H79 F82:H82 F85:H85 F88:H88 F91:H91 F97:H97">
    <cfRule type="expression" dxfId="33" priority="98">
      <formula>F11&lt;&gt;0</formula>
    </cfRule>
  </conditionalFormatting>
  <conditionalFormatting sqref="F58:H58">
    <cfRule type="expression" dxfId="32" priority="4">
      <formula>F59&lt;&gt;0</formula>
    </cfRule>
  </conditionalFormatting>
  <conditionalFormatting sqref="F94:H94">
    <cfRule type="expression" dxfId="31" priority="2">
      <formula>F95&lt;&gt;0</formula>
    </cfRule>
  </conditionalFormatting>
  <conditionalFormatting sqref="I10">
    <cfRule type="expression" dxfId="30" priority="155">
      <formula>I9=100%</formula>
    </cfRule>
  </conditionalFormatting>
  <conditionalFormatting sqref="I13">
    <cfRule type="expression" dxfId="29" priority="126">
      <formula>I12=100%</formula>
    </cfRule>
  </conditionalFormatting>
  <conditionalFormatting sqref="I16">
    <cfRule type="expression" dxfId="28" priority="129">
      <formula>I15=100%</formula>
    </cfRule>
  </conditionalFormatting>
  <conditionalFormatting sqref="I19">
    <cfRule type="expression" dxfId="27" priority="132">
      <formula>I18=100%</formula>
    </cfRule>
  </conditionalFormatting>
  <conditionalFormatting sqref="I22">
    <cfRule type="expression" dxfId="26" priority="135">
      <formula>I21=100%</formula>
    </cfRule>
  </conditionalFormatting>
  <conditionalFormatting sqref="I25">
    <cfRule type="expression" dxfId="25" priority="138">
      <formula>I24=100%</formula>
    </cfRule>
  </conditionalFormatting>
  <conditionalFormatting sqref="I28">
    <cfRule type="expression" dxfId="24" priority="141">
      <formula>I27=100%</formula>
    </cfRule>
  </conditionalFormatting>
  <conditionalFormatting sqref="I31">
    <cfRule type="expression" dxfId="23" priority="144">
      <formula>I30=100%</formula>
    </cfRule>
  </conditionalFormatting>
  <conditionalFormatting sqref="I34">
    <cfRule type="expression" dxfId="22" priority="24">
      <formula>I33=100%</formula>
    </cfRule>
  </conditionalFormatting>
  <conditionalFormatting sqref="I37">
    <cfRule type="expression" dxfId="21" priority="26">
      <formula>I36=100%</formula>
    </cfRule>
  </conditionalFormatting>
  <conditionalFormatting sqref="I40">
    <cfRule type="expression" dxfId="20" priority="28">
      <formula>I39=100%</formula>
    </cfRule>
  </conditionalFormatting>
  <conditionalFormatting sqref="I43">
    <cfRule type="expression" dxfId="19" priority="69">
      <formula>I42=100%</formula>
    </cfRule>
  </conditionalFormatting>
  <conditionalFormatting sqref="I46">
    <cfRule type="expression" dxfId="18" priority="63">
      <formula>I45=100%</formula>
    </cfRule>
  </conditionalFormatting>
  <conditionalFormatting sqref="I49">
    <cfRule type="expression" dxfId="17" priority="22">
      <formula>I48=100%</formula>
    </cfRule>
  </conditionalFormatting>
  <conditionalFormatting sqref="I52">
    <cfRule type="expression" dxfId="16" priority="20">
      <formula>I51=100%</formula>
    </cfRule>
  </conditionalFormatting>
  <conditionalFormatting sqref="I55">
    <cfRule type="expression" dxfId="15" priority="18">
      <formula>I54=100%</formula>
    </cfRule>
  </conditionalFormatting>
  <conditionalFormatting sqref="I58">
    <cfRule type="expression" dxfId="14" priority="3">
      <formula>I57=100%</formula>
    </cfRule>
  </conditionalFormatting>
  <conditionalFormatting sqref="I61">
    <cfRule type="expression" dxfId="13" priority="16">
      <formula>I60=100%</formula>
    </cfRule>
  </conditionalFormatting>
  <conditionalFormatting sqref="I64">
    <cfRule type="expression" dxfId="12" priority="14">
      <formula>I63=100%</formula>
    </cfRule>
  </conditionalFormatting>
  <conditionalFormatting sqref="I67">
    <cfRule type="expression" dxfId="11" priority="12">
      <formula>I66=100%</formula>
    </cfRule>
  </conditionalFormatting>
  <conditionalFormatting sqref="I70">
    <cfRule type="expression" dxfId="10" priority="10">
      <formula>I69=100%</formula>
    </cfRule>
  </conditionalFormatting>
  <conditionalFormatting sqref="I73">
    <cfRule type="expression" dxfId="9" priority="8">
      <formula>I72=100%</formula>
    </cfRule>
  </conditionalFormatting>
  <conditionalFormatting sqref="I76">
    <cfRule type="expression" dxfId="8" priority="147">
      <formula>I75=100%</formula>
    </cfRule>
  </conditionalFormatting>
  <conditionalFormatting sqref="I79">
    <cfRule type="expression" dxfId="7" priority="150">
      <formula>I78=100%</formula>
    </cfRule>
  </conditionalFormatting>
  <conditionalFormatting sqref="I82">
    <cfRule type="expression" dxfId="6" priority="153">
      <formula>I81=100%</formula>
    </cfRule>
  </conditionalFormatting>
  <conditionalFormatting sqref="I85">
    <cfRule type="expression" dxfId="5" priority="33">
      <formula>I84=100%</formula>
    </cfRule>
  </conditionalFormatting>
  <conditionalFormatting sqref="I88">
    <cfRule type="expression" dxfId="4" priority="38">
      <formula>I87=100%</formula>
    </cfRule>
  </conditionalFormatting>
  <conditionalFormatting sqref="I91">
    <cfRule type="expression" dxfId="3" priority="43">
      <formula>I90=100%</formula>
    </cfRule>
  </conditionalFormatting>
  <conditionalFormatting sqref="I94">
    <cfRule type="expression" dxfId="2" priority="1">
      <formula>I93=100%</formula>
    </cfRule>
  </conditionalFormatting>
  <conditionalFormatting sqref="I97">
    <cfRule type="expression" dxfId="1" priority="48">
      <formula>I96=100%</formula>
    </cfRule>
  </conditionalFormatting>
  <conditionalFormatting sqref="I100">
    <cfRule type="expression" dxfId="0" priority="188">
      <formula>I99=C99</formula>
    </cfRule>
  </conditionalFormatting>
  <pageMargins left="0.511811024" right="0.511811024" top="0.78740157499999996" bottom="0.78740157499999996" header="0.31496062000000002" footer="0.31496062000000002"/>
  <pageSetup paperSize="9" scale="35" orientation="portrait"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A426B7-C379-4B2E-B27B-8E37A0D664BD}">
  <sheetPr>
    <pageSetUpPr fitToPage="1"/>
  </sheetPr>
  <dimension ref="A1:N162"/>
  <sheetViews>
    <sheetView zoomScale="55" zoomScaleNormal="55" workbookViewId="0">
      <selection activeCell="F12" sqref="F12"/>
    </sheetView>
  </sheetViews>
  <sheetFormatPr defaultRowHeight="15" x14ac:dyDescent="0.25"/>
  <cols>
    <col min="1" max="1" width="17.5703125" style="183" customWidth="1"/>
    <col min="2" max="2" width="19.28515625" style="183" customWidth="1"/>
    <col min="3" max="3" width="89" style="183" customWidth="1"/>
    <col min="4" max="4" width="12.5703125" style="183" customWidth="1"/>
    <col min="5" max="5" width="13.28515625" style="183" customWidth="1"/>
    <col min="6" max="6" width="21.5703125" style="183" customWidth="1"/>
    <col min="7" max="7" width="26.42578125" style="183" customWidth="1"/>
    <col min="8" max="8" width="35.28515625" style="187" bestFit="1" customWidth="1"/>
    <col min="9" max="9" width="24.28515625" style="183" bestFit="1" customWidth="1"/>
    <col min="10" max="10" width="9.140625" style="183"/>
    <col min="11" max="11" width="14.5703125" style="183" bestFit="1" customWidth="1"/>
    <col min="12" max="16384" width="9.140625" style="183"/>
  </cols>
  <sheetData>
    <row r="1" spans="1:14" customFormat="1" ht="93" customHeight="1" thickBot="1" x14ac:dyDescent="0.3">
      <c r="A1" s="468" t="s">
        <v>268</v>
      </c>
      <c r="B1" s="469"/>
      <c r="C1" s="469"/>
      <c r="D1" s="469"/>
      <c r="E1" s="469"/>
      <c r="F1" s="469"/>
      <c r="G1" s="469"/>
      <c r="H1" s="469"/>
      <c r="I1" s="469"/>
      <c r="J1" s="444"/>
      <c r="K1" s="33"/>
      <c r="L1" s="315"/>
      <c r="M1" s="33"/>
      <c r="N1" s="316"/>
    </row>
    <row r="2" spans="1:14" customFormat="1" ht="18" customHeight="1" x14ac:dyDescent="0.25">
      <c r="A2" s="141" t="s">
        <v>623</v>
      </c>
      <c r="B2" s="470" t="s">
        <v>118</v>
      </c>
      <c r="C2" s="470"/>
      <c r="D2" s="470"/>
      <c r="E2" s="470"/>
      <c r="F2" s="470"/>
      <c r="G2" s="470"/>
      <c r="H2" s="470"/>
      <c r="I2" s="471">
        <f>BDI!$Z$21</f>
        <v>0.22470000000000001</v>
      </c>
      <c r="J2" s="472"/>
      <c r="K2" s="317"/>
      <c r="L2" s="315"/>
      <c r="M2" s="33"/>
      <c r="N2" s="316"/>
    </row>
    <row r="3" spans="1:14" customFormat="1" ht="17.25" customHeight="1" x14ac:dyDescent="0.25">
      <c r="A3" s="142" t="s">
        <v>236</v>
      </c>
      <c r="B3" s="473" t="s">
        <v>121</v>
      </c>
      <c r="C3" s="473"/>
      <c r="D3" s="473"/>
      <c r="E3" s="473"/>
      <c r="F3" s="473"/>
      <c r="G3" s="473"/>
      <c r="H3" s="473"/>
      <c r="I3" s="474" t="str">
        <f>Orçamento!J3</f>
        <v>REV_03</v>
      </c>
      <c r="J3" s="475"/>
      <c r="K3" s="317"/>
      <c r="L3" s="315"/>
      <c r="M3" s="33"/>
      <c r="N3" s="316"/>
    </row>
    <row r="4" spans="1:14" customFormat="1" ht="18" customHeight="1" thickBot="1" x14ac:dyDescent="0.3">
      <c r="A4" s="143" t="s">
        <v>87</v>
      </c>
      <c r="B4" s="476" t="s">
        <v>635</v>
      </c>
      <c r="C4" s="476"/>
      <c r="D4" s="476"/>
      <c r="E4" s="476"/>
      <c r="F4" s="476"/>
      <c r="G4" s="476"/>
      <c r="H4" s="476"/>
      <c r="I4" s="556" t="str">
        <f>Resumo!$D$4</f>
        <v>NOVEMBRO_2023</v>
      </c>
      <c r="J4" s="557"/>
      <c r="K4" s="317"/>
      <c r="L4" s="315"/>
      <c r="M4" s="33"/>
      <c r="N4" s="316"/>
    </row>
    <row r="5" spans="1:14" customFormat="1" ht="15.75" thickBot="1" x14ac:dyDescent="0.3">
      <c r="A5" s="456"/>
      <c r="B5" s="456"/>
      <c r="C5" s="456"/>
      <c r="D5" s="456"/>
      <c r="E5" s="456"/>
      <c r="F5" s="456"/>
      <c r="G5" s="456"/>
      <c r="H5" s="456"/>
      <c r="I5" s="456"/>
      <c r="J5" s="456"/>
    </row>
    <row r="6" spans="1:14" s="33" customFormat="1" ht="33.75" customHeight="1" thickBot="1" x14ac:dyDescent="0.3">
      <c r="A6" s="301" t="s">
        <v>269</v>
      </c>
      <c r="B6" s="302" t="s">
        <v>619</v>
      </c>
      <c r="C6" s="302" t="s">
        <v>270</v>
      </c>
      <c r="D6" s="302" t="s">
        <v>177</v>
      </c>
      <c r="E6" s="302" t="s">
        <v>271</v>
      </c>
      <c r="F6" s="303" t="s">
        <v>620</v>
      </c>
      <c r="G6" s="303" t="s">
        <v>626</v>
      </c>
      <c r="H6" s="303" t="s">
        <v>82</v>
      </c>
      <c r="I6" s="303" t="s">
        <v>272</v>
      </c>
      <c r="J6" s="304" t="s">
        <v>273</v>
      </c>
    </row>
    <row r="7" spans="1:14" ht="45" x14ac:dyDescent="0.25">
      <c r="A7" s="403" t="s">
        <v>139</v>
      </c>
      <c r="B7" s="404" t="s">
        <v>176</v>
      </c>
      <c r="C7" s="405" t="s">
        <v>474</v>
      </c>
      <c r="D7" s="404" t="s">
        <v>421</v>
      </c>
      <c r="E7" s="406">
        <v>1</v>
      </c>
      <c r="F7" s="407">
        <v>30787.672064999999</v>
      </c>
      <c r="G7" s="407">
        <v>30787.672064999999</v>
      </c>
      <c r="H7" s="408">
        <f t="shared" ref="H7:H38" si="0">G7/$G$162</f>
        <v>9.1456224889261445E-2</v>
      </c>
      <c r="I7" s="409">
        <f>H7</f>
        <v>9.1456224889261445E-2</v>
      </c>
      <c r="J7" s="410" t="s">
        <v>274</v>
      </c>
    </row>
    <row r="8" spans="1:14" x14ac:dyDescent="0.25">
      <c r="A8" s="411" t="s">
        <v>628</v>
      </c>
      <c r="B8" s="393" t="s">
        <v>8</v>
      </c>
      <c r="C8" s="393" t="s">
        <v>4</v>
      </c>
      <c r="D8" s="393" t="s">
        <v>91</v>
      </c>
      <c r="E8" s="395">
        <v>2.5</v>
      </c>
      <c r="F8" s="396">
        <v>10830.646697</v>
      </c>
      <c r="G8" s="396">
        <v>27076.616742500002</v>
      </c>
      <c r="H8" s="399">
        <f t="shared" si="0"/>
        <v>8.0432360875298342E-2</v>
      </c>
      <c r="I8" s="400">
        <f>I7+H8</f>
        <v>0.17188858576455979</v>
      </c>
      <c r="J8" s="412" t="s">
        <v>274</v>
      </c>
    </row>
    <row r="9" spans="1:14" x14ac:dyDescent="0.25">
      <c r="A9" s="411" t="s">
        <v>462</v>
      </c>
      <c r="B9" s="393" t="s">
        <v>8</v>
      </c>
      <c r="C9" s="394" t="s">
        <v>461</v>
      </c>
      <c r="D9" s="393" t="s">
        <v>156</v>
      </c>
      <c r="E9" s="395">
        <v>1870</v>
      </c>
      <c r="F9" s="396">
        <v>11.181511</v>
      </c>
      <c r="G9" s="396">
        <v>20909.425569999999</v>
      </c>
      <c r="H9" s="399">
        <f t="shared" si="0"/>
        <v>6.2112430040111043E-2</v>
      </c>
      <c r="I9" s="400">
        <f t="shared" ref="I9:I72" si="1">I8+H9</f>
        <v>0.23400101580467084</v>
      </c>
      <c r="J9" s="412" t="s">
        <v>274</v>
      </c>
    </row>
    <row r="10" spans="1:14" x14ac:dyDescent="0.25">
      <c r="A10" s="411" t="s">
        <v>9</v>
      </c>
      <c r="B10" s="393" t="s">
        <v>8</v>
      </c>
      <c r="C10" s="393" t="s">
        <v>3</v>
      </c>
      <c r="D10" s="393" t="s">
        <v>91</v>
      </c>
      <c r="E10" s="395">
        <v>0.625</v>
      </c>
      <c r="F10" s="396">
        <v>24263.535953999999</v>
      </c>
      <c r="G10" s="396">
        <v>15164.709971249998</v>
      </c>
      <c r="H10" s="399">
        <f t="shared" si="0"/>
        <v>4.5047482725650026E-2</v>
      </c>
      <c r="I10" s="400">
        <f t="shared" si="1"/>
        <v>0.27904849853032088</v>
      </c>
      <c r="J10" s="412" t="s">
        <v>274</v>
      </c>
      <c r="K10" s="191"/>
    </row>
    <row r="11" spans="1:14" ht="60" x14ac:dyDescent="0.25">
      <c r="A11" s="413" t="s">
        <v>141</v>
      </c>
      <c r="B11" s="393" t="s">
        <v>176</v>
      </c>
      <c r="C11" s="394" t="s">
        <v>781</v>
      </c>
      <c r="D11" s="393" t="s">
        <v>468</v>
      </c>
      <c r="E11" s="395">
        <v>1</v>
      </c>
      <c r="F11" s="396">
        <v>12134.609280999999</v>
      </c>
      <c r="G11" s="396">
        <v>12134.609280999999</v>
      </c>
      <c r="H11" s="399">
        <f t="shared" si="0"/>
        <v>3.6046426407408697E-2</v>
      </c>
      <c r="I11" s="400">
        <f t="shared" si="1"/>
        <v>0.31509492493772956</v>
      </c>
      <c r="J11" s="412" t="s">
        <v>274</v>
      </c>
    </row>
    <row r="12" spans="1:14" ht="30" x14ac:dyDescent="0.25">
      <c r="A12" s="411" t="s">
        <v>159</v>
      </c>
      <c r="B12" s="393" t="s">
        <v>113</v>
      </c>
      <c r="C12" s="394" t="s">
        <v>472</v>
      </c>
      <c r="D12" s="393" t="s">
        <v>114</v>
      </c>
      <c r="E12" s="395">
        <v>72.64</v>
      </c>
      <c r="F12" s="396">
        <v>161.07752599376121</v>
      </c>
      <c r="G12" s="396">
        <v>11700.671488186814</v>
      </c>
      <c r="H12" s="399">
        <f t="shared" si="0"/>
        <v>3.475739382697568E-2</v>
      </c>
      <c r="I12" s="400">
        <f t="shared" si="1"/>
        <v>0.34985231876470524</v>
      </c>
      <c r="J12" s="412" t="s">
        <v>274</v>
      </c>
      <c r="K12" s="191"/>
    </row>
    <row r="13" spans="1:14" ht="45" x14ac:dyDescent="0.25">
      <c r="A13" s="413" t="s">
        <v>140</v>
      </c>
      <c r="B13" s="393" t="s">
        <v>176</v>
      </c>
      <c r="C13" s="394" t="s">
        <v>795</v>
      </c>
      <c r="D13" s="393" t="s">
        <v>421</v>
      </c>
      <c r="E13" s="395">
        <v>1</v>
      </c>
      <c r="F13" s="396">
        <v>11315.542168</v>
      </c>
      <c r="G13" s="396">
        <v>11315.542168</v>
      </c>
      <c r="H13" s="399">
        <f t="shared" si="0"/>
        <v>3.3613349105306216E-2</v>
      </c>
      <c r="I13" s="400">
        <f t="shared" si="1"/>
        <v>0.38346566787001146</v>
      </c>
      <c r="J13" s="412" t="s">
        <v>274</v>
      </c>
    </row>
    <row r="14" spans="1:14" ht="60" x14ac:dyDescent="0.25">
      <c r="A14" s="413" t="s">
        <v>143</v>
      </c>
      <c r="B14" s="393" t="s">
        <v>176</v>
      </c>
      <c r="C14" s="394" t="s">
        <v>624</v>
      </c>
      <c r="D14" s="393" t="s">
        <v>468</v>
      </c>
      <c r="E14" s="395">
        <v>1</v>
      </c>
      <c r="F14" s="396">
        <v>10676.052815999999</v>
      </c>
      <c r="G14" s="396">
        <v>10676.052815999999</v>
      </c>
      <c r="H14" s="399">
        <f t="shared" si="0"/>
        <v>3.171371597074106E-2</v>
      </c>
      <c r="I14" s="400">
        <f t="shared" si="1"/>
        <v>0.41517938384075254</v>
      </c>
      <c r="J14" s="412" t="s">
        <v>274</v>
      </c>
      <c r="K14" s="191"/>
    </row>
    <row r="15" spans="1:14" ht="30" x14ac:dyDescent="0.25">
      <c r="A15" s="411" t="s">
        <v>784</v>
      </c>
      <c r="B15" s="393" t="s">
        <v>176</v>
      </c>
      <c r="C15" s="394" t="s">
        <v>471</v>
      </c>
      <c r="D15" s="393" t="s">
        <v>114</v>
      </c>
      <c r="E15" s="395">
        <v>42.5</v>
      </c>
      <c r="F15" s="396">
        <v>235.47956464281503</v>
      </c>
      <c r="G15" s="396">
        <v>10007.881497319639</v>
      </c>
      <c r="H15" s="399">
        <f t="shared" si="0"/>
        <v>2.9728881707963048E-2</v>
      </c>
      <c r="I15" s="400">
        <f t="shared" si="1"/>
        <v>0.4449082655487156</v>
      </c>
      <c r="J15" s="412" t="s">
        <v>274</v>
      </c>
    </row>
    <row r="16" spans="1:14" ht="30" x14ac:dyDescent="0.25">
      <c r="A16" s="411" t="s">
        <v>345</v>
      </c>
      <c r="B16" s="393" t="s">
        <v>176</v>
      </c>
      <c r="C16" s="394" t="s">
        <v>798</v>
      </c>
      <c r="D16" s="393" t="s">
        <v>114</v>
      </c>
      <c r="E16" s="395">
        <v>37.409999999999997</v>
      </c>
      <c r="F16" s="396">
        <v>235.47956464281503</v>
      </c>
      <c r="G16" s="396">
        <v>8809.2905132877095</v>
      </c>
      <c r="H16" s="399">
        <f t="shared" si="0"/>
        <v>2.6168410933997591E-2</v>
      </c>
      <c r="I16" s="400">
        <f t="shared" si="1"/>
        <v>0.47107667648271317</v>
      </c>
      <c r="J16" s="412" t="s">
        <v>274</v>
      </c>
      <c r="K16" s="191"/>
    </row>
    <row r="17" spans="1:10" ht="45" x14ac:dyDescent="0.25">
      <c r="A17" s="411" t="s">
        <v>783</v>
      </c>
      <c r="B17" s="393" t="s">
        <v>176</v>
      </c>
      <c r="C17" s="394" t="s">
        <v>670</v>
      </c>
      <c r="D17" s="393" t="s">
        <v>114</v>
      </c>
      <c r="E17" s="395">
        <v>85.33</v>
      </c>
      <c r="F17" s="396">
        <v>96.887792679058293</v>
      </c>
      <c r="G17" s="396">
        <v>8267.4353493040435</v>
      </c>
      <c r="H17" s="399">
        <f t="shared" si="0"/>
        <v>2.4558804737398073E-2</v>
      </c>
      <c r="I17" s="400">
        <f t="shared" si="1"/>
        <v>0.49563548122011125</v>
      </c>
      <c r="J17" s="412" t="s">
        <v>274</v>
      </c>
    </row>
    <row r="18" spans="1:10" ht="30" x14ac:dyDescent="0.25">
      <c r="A18" s="411" t="s">
        <v>782</v>
      </c>
      <c r="B18" s="393" t="s">
        <v>176</v>
      </c>
      <c r="C18" s="394" t="s">
        <v>797</v>
      </c>
      <c r="D18" s="393" t="s">
        <v>114</v>
      </c>
      <c r="E18" s="395">
        <v>35.36</v>
      </c>
      <c r="F18" s="396">
        <v>211.42909079351409</v>
      </c>
      <c r="G18" s="396">
        <v>7476.1326504586577</v>
      </c>
      <c r="H18" s="399">
        <f t="shared" si="0"/>
        <v>2.2208202930665367E-2</v>
      </c>
      <c r="I18" s="400">
        <f t="shared" si="1"/>
        <v>0.51784368415077664</v>
      </c>
      <c r="J18" s="412" t="s">
        <v>274</v>
      </c>
    </row>
    <row r="19" spans="1:10" ht="30" x14ac:dyDescent="0.25">
      <c r="A19" s="411" t="s">
        <v>402</v>
      </c>
      <c r="B19" s="393" t="s">
        <v>8</v>
      </c>
      <c r="C19" s="394" t="s">
        <v>401</v>
      </c>
      <c r="D19" s="393" t="s">
        <v>156</v>
      </c>
      <c r="E19" s="395">
        <v>1226</v>
      </c>
      <c r="F19" s="396">
        <v>6.062265</v>
      </c>
      <c r="G19" s="396">
        <v>7432.3368899999996</v>
      </c>
      <c r="H19" s="399">
        <f t="shared" si="0"/>
        <v>2.207810556866778E-2</v>
      </c>
      <c r="I19" s="400">
        <f t="shared" si="1"/>
        <v>0.53992178971944438</v>
      </c>
      <c r="J19" s="412" t="s">
        <v>274</v>
      </c>
    </row>
    <row r="20" spans="1:10" ht="30" x14ac:dyDescent="0.25">
      <c r="A20" s="411" t="s">
        <v>160</v>
      </c>
      <c r="B20" s="393" t="s">
        <v>113</v>
      </c>
      <c r="C20" s="394" t="s">
        <v>317</v>
      </c>
      <c r="D20" s="393" t="s">
        <v>114</v>
      </c>
      <c r="E20" s="395">
        <v>85.33</v>
      </c>
      <c r="F20" s="396">
        <v>85.486999279999978</v>
      </c>
      <c r="G20" s="396">
        <v>7294.6056485623976</v>
      </c>
      <c r="H20" s="399">
        <f t="shared" si="0"/>
        <v>2.1668968451558031E-2</v>
      </c>
      <c r="I20" s="400">
        <f t="shared" si="1"/>
        <v>0.56159075817100246</v>
      </c>
      <c r="J20" s="412" t="s">
        <v>274</v>
      </c>
    </row>
    <row r="21" spans="1:10" ht="30" x14ac:dyDescent="0.25">
      <c r="A21" s="411" t="s">
        <v>634</v>
      </c>
      <c r="B21" s="393" t="s">
        <v>8</v>
      </c>
      <c r="C21" s="394" t="s">
        <v>33</v>
      </c>
      <c r="D21" s="393" t="s">
        <v>114</v>
      </c>
      <c r="E21" s="395">
        <v>372.48</v>
      </c>
      <c r="F21" s="396">
        <v>18.541957999999997</v>
      </c>
      <c r="G21" s="396">
        <v>6906.5085158399997</v>
      </c>
      <c r="H21" s="399">
        <f t="shared" si="0"/>
        <v>2.0516107703457256E-2</v>
      </c>
      <c r="I21" s="400">
        <f t="shared" si="1"/>
        <v>0.5821068658744597</v>
      </c>
      <c r="J21" s="412" t="s">
        <v>274</v>
      </c>
    </row>
    <row r="22" spans="1:10" x14ac:dyDescent="0.25">
      <c r="A22" s="411" t="s">
        <v>786</v>
      </c>
      <c r="B22" s="393" t="s">
        <v>176</v>
      </c>
      <c r="C22" s="394" t="s">
        <v>378</v>
      </c>
      <c r="D22" s="393" t="s">
        <v>164</v>
      </c>
      <c r="E22" s="395">
        <v>19</v>
      </c>
      <c r="F22" s="396">
        <v>340.16164969999994</v>
      </c>
      <c r="G22" s="396">
        <v>6463.0713442999986</v>
      </c>
      <c r="H22" s="399">
        <f t="shared" si="0"/>
        <v>1.9198856772662649E-2</v>
      </c>
      <c r="I22" s="400">
        <f t="shared" si="1"/>
        <v>0.60130572264712234</v>
      </c>
      <c r="J22" s="412" t="s">
        <v>274</v>
      </c>
    </row>
    <row r="23" spans="1:10" ht="30" x14ac:dyDescent="0.25">
      <c r="A23" s="411" t="s">
        <v>15</v>
      </c>
      <c r="B23" s="393" t="s">
        <v>8</v>
      </c>
      <c r="C23" s="394" t="s">
        <v>108</v>
      </c>
      <c r="D23" s="393" t="s">
        <v>114</v>
      </c>
      <c r="E23" s="395">
        <v>157.97</v>
      </c>
      <c r="F23" s="396">
        <v>40.108924999999999</v>
      </c>
      <c r="G23" s="396">
        <v>6336.0068822499998</v>
      </c>
      <c r="H23" s="399">
        <f t="shared" si="0"/>
        <v>1.882140582436934E-2</v>
      </c>
      <c r="I23" s="400">
        <f t="shared" si="1"/>
        <v>0.62012712847149165</v>
      </c>
      <c r="J23" s="412" t="s">
        <v>274</v>
      </c>
    </row>
    <row r="24" spans="1:10" ht="30" x14ac:dyDescent="0.25">
      <c r="A24" s="411" t="s">
        <v>402</v>
      </c>
      <c r="B24" s="393" t="s">
        <v>8</v>
      </c>
      <c r="C24" s="394" t="s">
        <v>401</v>
      </c>
      <c r="D24" s="393" t="s">
        <v>156</v>
      </c>
      <c r="E24" s="395">
        <v>948</v>
      </c>
      <c r="F24" s="396">
        <v>6.062265</v>
      </c>
      <c r="G24" s="396">
        <v>5747.0272199999999</v>
      </c>
      <c r="H24" s="399">
        <f t="shared" si="0"/>
        <v>1.7071814093880144E-2</v>
      </c>
      <c r="I24" s="400">
        <f t="shared" si="1"/>
        <v>0.6371989425653718</v>
      </c>
      <c r="J24" s="412" t="s">
        <v>274</v>
      </c>
    </row>
    <row r="25" spans="1:10" ht="30" x14ac:dyDescent="0.25">
      <c r="A25" s="411" t="s">
        <v>28</v>
      </c>
      <c r="B25" s="393" t="s">
        <v>8</v>
      </c>
      <c r="C25" s="394" t="s">
        <v>29</v>
      </c>
      <c r="D25" s="393" t="s">
        <v>114</v>
      </c>
      <c r="E25" s="395">
        <v>218.27</v>
      </c>
      <c r="F25" s="396">
        <v>22.595714999999998</v>
      </c>
      <c r="G25" s="396">
        <v>4931.9667130500002</v>
      </c>
      <c r="H25" s="399">
        <f t="shared" si="0"/>
        <v>1.4650638603099347E-2</v>
      </c>
      <c r="I25" s="400">
        <f t="shared" si="1"/>
        <v>0.65184958116847114</v>
      </c>
      <c r="J25" s="412" t="s">
        <v>274</v>
      </c>
    </row>
    <row r="26" spans="1:10" ht="30" x14ac:dyDescent="0.25">
      <c r="A26" s="411" t="s">
        <v>27</v>
      </c>
      <c r="B26" s="393" t="s">
        <v>8</v>
      </c>
      <c r="C26" s="394" t="s">
        <v>30</v>
      </c>
      <c r="D26" s="393" t="s">
        <v>114</v>
      </c>
      <c r="E26" s="395">
        <v>129.53829999999999</v>
      </c>
      <c r="F26" s="396">
        <v>37.549301999999997</v>
      </c>
      <c r="G26" s="396">
        <v>4864.0727472665994</v>
      </c>
      <c r="H26" s="399">
        <f t="shared" si="0"/>
        <v>1.4448956391134728E-2</v>
      </c>
      <c r="I26" s="400">
        <f t="shared" si="1"/>
        <v>0.66629853755960589</v>
      </c>
      <c r="J26" s="412" t="s">
        <v>274</v>
      </c>
    </row>
    <row r="27" spans="1:10" ht="30" x14ac:dyDescent="0.25">
      <c r="A27" s="411" t="s">
        <v>788</v>
      </c>
      <c r="B27" s="393" t="s">
        <v>176</v>
      </c>
      <c r="C27" s="394" t="s">
        <v>431</v>
      </c>
      <c r="D27" s="393" t="s">
        <v>164</v>
      </c>
      <c r="E27" s="395">
        <v>13</v>
      </c>
      <c r="F27" s="396">
        <v>365.14234548000002</v>
      </c>
      <c r="G27" s="396">
        <v>4746.8504912400003</v>
      </c>
      <c r="H27" s="399">
        <f t="shared" si="0"/>
        <v>1.4100742177778118E-2</v>
      </c>
      <c r="I27" s="400">
        <f t="shared" si="1"/>
        <v>0.68039927973738401</v>
      </c>
      <c r="J27" s="412" t="s">
        <v>274</v>
      </c>
    </row>
    <row r="28" spans="1:10" x14ac:dyDescent="0.25">
      <c r="A28" s="411" t="s">
        <v>39</v>
      </c>
      <c r="B28" s="394" t="s">
        <v>8</v>
      </c>
      <c r="C28" s="394" t="s">
        <v>105</v>
      </c>
      <c r="D28" s="393" t="s">
        <v>190</v>
      </c>
      <c r="E28" s="395">
        <v>75</v>
      </c>
      <c r="F28" s="396">
        <v>61.234999999999992</v>
      </c>
      <c r="G28" s="396">
        <v>4592.6249999999991</v>
      </c>
      <c r="H28" s="399">
        <f t="shared" si="0"/>
        <v>1.3642608117472303E-2</v>
      </c>
      <c r="I28" s="400">
        <f t="shared" si="1"/>
        <v>0.69404188785485632</v>
      </c>
      <c r="J28" s="412" t="s">
        <v>274</v>
      </c>
    </row>
    <row r="29" spans="1:10" x14ac:dyDescent="0.25">
      <c r="A29" s="411">
        <v>12791</v>
      </c>
      <c r="B29" s="393" t="s">
        <v>153</v>
      </c>
      <c r="C29" s="394" t="s">
        <v>447</v>
      </c>
      <c r="D29" s="393" t="s">
        <v>164</v>
      </c>
      <c r="E29" s="395">
        <v>1</v>
      </c>
      <c r="F29" s="396">
        <v>4415.0924879999993</v>
      </c>
      <c r="G29" s="396">
        <v>4415.0924879999993</v>
      </c>
      <c r="H29" s="399">
        <f t="shared" si="0"/>
        <v>1.3115239458083294E-2</v>
      </c>
      <c r="I29" s="400">
        <f t="shared" si="1"/>
        <v>0.70715712731293956</v>
      </c>
      <c r="J29" s="412" t="s">
        <v>274</v>
      </c>
    </row>
    <row r="30" spans="1:10" x14ac:dyDescent="0.25">
      <c r="A30" s="414" t="s">
        <v>142</v>
      </c>
      <c r="B30" s="397" t="s">
        <v>176</v>
      </c>
      <c r="C30" s="394" t="s">
        <v>799</v>
      </c>
      <c r="D30" s="393" t="s">
        <v>164</v>
      </c>
      <c r="E30" s="395">
        <v>11</v>
      </c>
      <c r="F30" s="396">
        <v>354.91805999999997</v>
      </c>
      <c r="G30" s="396">
        <v>3904.0986599999997</v>
      </c>
      <c r="H30" s="399">
        <f t="shared" si="0"/>
        <v>1.1597308308500856E-2</v>
      </c>
      <c r="I30" s="400">
        <f t="shared" si="1"/>
        <v>0.71875443562144037</v>
      </c>
      <c r="J30" s="412" t="s">
        <v>274</v>
      </c>
    </row>
    <row r="31" spans="1:10" ht="30" x14ac:dyDescent="0.25">
      <c r="A31" s="411" t="s">
        <v>583</v>
      </c>
      <c r="B31" s="394" t="s">
        <v>584</v>
      </c>
      <c r="C31" s="398" t="s">
        <v>776</v>
      </c>
      <c r="D31" s="393" t="s">
        <v>164</v>
      </c>
      <c r="E31" s="395">
        <v>1</v>
      </c>
      <c r="F31" s="396">
        <v>3753.0681661199997</v>
      </c>
      <c r="G31" s="396">
        <v>3753.0681661199997</v>
      </c>
      <c r="H31" s="399">
        <f t="shared" si="0"/>
        <v>1.1148665137810208E-2</v>
      </c>
      <c r="I31" s="400">
        <f t="shared" si="1"/>
        <v>0.72990310075925058</v>
      </c>
      <c r="J31" s="412" t="s">
        <v>274</v>
      </c>
    </row>
    <row r="32" spans="1:10" x14ac:dyDescent="0.25">
      <c r="A32" s="411" t="s">
        <v>669</v>
      </c>
      <c r="B32" s="393" t="s">
        <v>176</v>
      </c>
      <c r="C32" s="394" t="s">
        <v>552</v>
      </c>
      <c r="D32" s="395" t="s">
        <v>164</v>
      </c>
      <c r="E32" s="395">
        <v>76</v>
      </c>
      <c r="F32" s="396">
        <v>48.400143999999997</v>
      </c>
      <c r="G32" s="396">
        <v>3678.4109439999997</v>
      </c>
      <c r="H32" s="399">
        <f t="shared" si="0"/>
        <v>1.0926892355464112E-2</v>
      </c>
      <c r="I32" s="400">
        <f t="shared" si="1"/>
        <v>0.74082999311471465</v>
      </c>
      <c r="J32" s="412" t="s">
        <v>274</v>
      </c>
    </row>
    <row r="33" spans="1:10" ht="30" x14ac:dyDescent="0.25">
      <c r="A33" s="411">
        <v>98299</v>
      </c>
      <c r="B33" s="393" t="s">
        <v>153</v>
      </c>
      <c r="C33" s="394" t="s">
        <v>711</v>
      </c>
      <c r="D33" s="393" t="s">
        <v>156</v>
      </c>
      <c r="E33" s="395">
        <v>160</v>
      </c>
      <c r="F33" s="396">
        <v>22.632455999999998</v>
      </c>
      <c r="G33" s="396">
        <v>3621.1929599999994</v>
      </c>
      <c r="H33" s="399">
        <f t="shared" si="0"/>
        <v>1.0756923648464561E-2</v>
      </c>
      <c r="I33" s="400">
        <f t="shared" si="1"/>
        <v>0.75158691676317924</v>
      </c>
      <c r="J33" s="412" t="s">
        <v>274</v>
      </c>
    </row>
    <row r="34" spans="1:10" ht="30" x14ac:dyDescent="0.25">
      <c r="A34" s="411" t="s">
        <v>37</v>
      </c>
      <c r="B34" s="394" t="s">
        <v>8</v>
      </c>
      <c r="C34" s="394" t="s">
        <v>38</v>
      </c>
      <c r="D34" s="393" t="s">
        <v>190</v>
      </c>
      <c r="E34" s="395">
        <v>75</v>
      </c>
      <c r="F34" s="396">
        <v>47.959251999999992</v>
      </c>
      <c r="G34" s="396">
        <v>3596.9438999999993</v>
      </c>
      <c r="H34" s="399">
        <f t="shared" si="0"/>
        <v>1.0684890677604308E-2</v>
      </c>
      <c r="I34" s="400">
        <f t="shared" si="1"/>
        <v>0.76227180744078349</v>
      </c>
      <c r="J34" s="412" t="s">
        <v>274</v>
      </c>
    </row>
    <row r="35" spans="1:10" ht="30" x14ac:dyDescent="0.25">
      <c r="A35" s="411">
        <v>96366</v>
      </c>
      <c r="B35" s="393" t="s">
        <v>19</v>
      </c>
      <c r="C35" s="394" t="s">
        <v>109</v>
      </c>
      <c r="D35" s="393" t="s">
        <v>114</v>
      </c>
      <c r="E35" s="395">
        <v>18.474939999999997</v>
      </c>
      <c r="F35" s="396">
        <v>190.95522399999996</v>
      </c>
      <c r="G35" s="396">
        <v>3527.8863060865588</v>
      </c>
      <c r="H35" s="399">
        <f t="shared" si="0"/>
        <v>1.0479751853664489E-2</v>
      </c>
      <c r="I35" s="400">
        <f t="shared" si="1"/>
        <v>0.77275155929444794</v>
      </c>
      <c r="J35" s="412" t="s">
        <v>274</v>
      </c>
    </row>
    <row r="36" spans="1:10" ht="30" x14ac:dyDescent="0.25">
      <c r="A36" s="411">
        <v>9842</v>
      </c>
      <c r="B36" s="394" t="s">
        <v>153</v>
      </c>
      <c r="C36" s="398" t="s">
        <v>571</v>
      </c>
      <c r="D36" s="393" t="s">
        <v>156</v>
      </c>
      <c r="E36" s="395">
        <v>30</v>
      </c>
      <c r="F36" s="396">
        <v>98.429138999999992</v>
      </c>
      <c r="G36" s="396">
        <v>2952.8741699999996</v>
      </c>
      <c r="H36" s="399">
        <f t="shared" si="0"/>
        <v>8.7716513152099919E-3</v>
      </c>
      <c r="I36" s="400">
        <f t="shared" si="1"/>
        <v>0.7815232106096579</v>
      </c>
      <c r="J36" s="412" t="s">
        <v>274</v>
      </c>
    </row>
    <row r="37" spans="1:10" ht="30" x14ac:dyDescent="0.25">
      <c r="A37" s="411" t="s">
        <v>31</v>
      </c>
      <c r="B37" s="393" t="s">
        <v>8</v>
      </c>
      <c r="C37" s="394" t="s">
        <v>32</v>
      </c>
      <c r="D37" s="393" t="s">
        <v>114</v>
      </c>
      <c r="E37" s="395">
        <v>129.53829999999999</v>
      </c>
      <c r="F37" s="396">
        <v>20.538218999999998</v>
      </c>
      <c r="G37" s="396">
        <v>2660.4859742876997</v>
      </c>
      <c r="H37" s="399">
        <f t="shared" si="0"/>
        <v>7.9030984565991325E-3</v>
      </c>
      <c r="I37" s="400">
        <f t="shared" si="1"/>
        <v>0.78942630906625699</v>
      </c>
      <c r="J37" s="412" t="s">
        <v>274</v>
      </c>
    </row>
    <row r="38" spans="1:10" ht="30" x14ac:dyDescent="0.25">
      <c r="A38" s="411" t="s">
        <v>106</v>
      </c>
      <c r="B38" s="393" t="s">
        <v>8</v>
      </c>
      <c r="C38" s="394" t="s">
        <v>328</v>
      </c>
      <c r="D38" s="395" t="s">
        <v>114</v>
      </c>
      <c r="E38" s="395">
        <v>14.458</v>
      </c>
      <c r="F38" s="396">
        <v>183.74174099999999</v>
      </c>
      <c r="G38" s="396">
        <v>2656.538091378</v>
      </c>
      <c r="H38" s="399">
        <f t="shared" si="0"/>
        <v>7.891371085121883E-3</v>
      </c>
      <c r="I38" s="400">
        <f t="shared" si="1"/>
        <v>0.79731768015137883</v>
      </c>
      <c r="J38" s="412" t="s">
        <v>274</v>
      </c>
    </row>
    <row r="39" spans="1:10" ht="30" x14ac:dyDescent="0.25">
      <c r="A39" s="411" t="s">
        <v>410</v>
      </c>
      <c r="B39" s="393" t="s">
        <v>8</v>
      </c>
      <c r="C39" s="394" t="s">
        <v>409</v>
      </c>
      <c r="D39" s="393" t="s">
        <v>156</v>
      </c>
      <c r="E39" s="395">
        <v>66</v>
      </c>
      <c r="F39" s="396">
        <v>35.442817999999995</v>
      </c>
      <c r="G39" s="396">
        <v>2339.2259879999997</v>
      </c>
      <c r="H39" s="399">
        <f t="shared" ref="H39:H70" si="2">G39/$G$162</f>
        <v>6.9487805889858131E-3</v>
      </c>
      <c r="I39" s="400">
        <f t="shared" si="1"/>
        <v>0.80426646074036467</v>
      </c>
      <c r="J39" s="412" t="s">
        <v>274</v>
      </c>
    </row>
    <row r="40" spans="1:10" ht="30" x14ac:dyDescent="0.25">
      <c r="A40" s="415" t="s">
        <v>410</v>
      </c>
      <c r="B40" s="387" t="s">
        <v>8</v>
      </c>
      <c r="C40" s="388" t="s">
        <v>702</v>
      </c>
      <c r="D40" s="387" t="s">
        <v>156</v>
      </c>
      <c r="E40" s="389">
        <v>60</v>
      </c>
      <c r="F40" s="390">
        <v>35.442817999999995</v>
      </c>
      <c r="G40" s="390">
        <v>2126.5690799999998</v>
      </c>
      <c r="H40" s="401">
        <f t="shared" si="2"/>
        <v>6.3170732627143757E-3</v>
      </c>
      <c r="I40" s="402">
        <f t="shared" si="1"/>
        <v>0.81058353400307903</v>
      </c>
      <c r="J40" s="416" t="s">
        <v>275</v>
      </c>
    </row>
    <row r="41" spans="1:10" x14ac:dyDescent="0.25">
      <c r="A41" s="415" t="s">
        <v>755</v>
      </c>
      <c r="B41" s="387" t="s">
        <v>8</v>
      </c>
      <c r="C41" s="388" t="s">
        <v>754</v>
      </c>
      <c r="D41" s="387" t="s">
        <v>114</v>
      </c>
      <c r="E41" s="389">
        <v>42.664999999999999</v>
      </c>
      <c r="F41" s="390">
        <v>47.714312</v>
      </c>
      <c r="G41" s="390">
        <v>2035.73112148</v>
      </c>
      <c r="H41" s="401">
        <f t="shared" si="2"/>
        <v>6.0472348434488007E-3</v>
      </c>
      <c r="I41" s="402">
        <f t="shared" si="1"/>
        <v>0.81663076884652785</v>
      </c>
      <c r="J41" s="416" t="s">
        <v>275</v>
      </c>
    </row>
    <row r="42" spans="1:10" ht="30" x14ac:dyDescent="0.25">
      <c r="A42" s="415" t="s">
        <v>163</v>
      </c>
      <c r="B42" s="387" t="s">
        <v>176</v>
      </c>
      <c r="C42" s="388" t="s">
        <v>376</v>
      </c>
      <c r="D42" s="387" t="s">
        <v>164</v>
      </c>
      <c r="E42" s="389">
        <v>7</v>
      </c>
      <c r="F42" s="390">
        <v>289.17738869999999</v>
      </c>
      <c r="G42" s="390">
        <v>2024.2417209</v>
      </c>
      <c r="H42" s="401">
        <f t="shared" si="2"/>
        <v>6.0131050397705995E-3</v>
      </c>
      <c r="I42" s="402">
        <f t="shared" si="1"/>
        <v>0.82264387388629845</v>
      </c>
      <c r="J42" s="416" t="s">
        <v>275</v>
      </c>
    </row>
    <row r="43" spans="1:10" x14ac:dyDescent="0.25">
      <c r="A43" s="415" t="s">
        <v>789</v>
      </c>
      <c r="B43" s="387" t="s">
        <v>176</v>
      </c>
      <c r="C43" s="388" t="s">
        <v>765</v>
      </c>
      <c r="D43" s="387" t="s">
        <v>164</v>
      </c>
      <c r="E43" s="389">
        <v>1</v>
      </c>
      <c r="F43" s="390">
        <v>1941.4556749999999</v>
      </c>
      <c r="G43" s="390">
        <v>1941.4556749999999</v>
      </c>
      <c r="H43" s="401">
        <f t="shared" si="2"/>
        <v>5.7671852048594595E-3</v>
      </c>
      <c r="I43" s="402">
        <f t="shared" si="1"/>
        <v>0.82841105909115786</v>
      </c>
      <c r="J43" s="416" t="s">
        <v>275</v>
      </c>
    </row>
    <row r="44" spans="1:10" x14ac:dyDescent="0.25">
      <c r="A44" s="415" t="s">
        <v>581</v>
      </c>
      <c r="B44" s="388" t="s">
        <v>578</v>
      </c>
      <c r="C44" s="391" t="s">
        <v>580</v>
      </c>
      <c r="D44" s="387" t="s">
        <v>164</v>
      </c>
      <c r="E44" s="389">
        <v>1</v>
      </c>
      <c r="F44" s="390">
        <v>1812.7274579999996</v>
      </c>
      <c r="G44" s="390">
        <v>1812.7274579999996</v>
      </c>
      <c r="H44" s="401">
        <f t="shared" si="2"/>
        <v>5.384791994398788E-3</v>
      </c>
      <c r="I44" s="402">
        <f t="shared" si="1"/>
        <v>0.83379585108555665</v>
      </c>
      <c r="J44" s="416" t="s">
        <v>275</v>
      </c>
    </row>
    <row r="45" spans="1:10" x14ac:dyDescent="0.25">
      <c r="A45" s="415" t="s">
        <v>449</v>
      </c>
      <c r="B45" s="387" t="s">
        <v>8</v>
      </c>
      <c r="C45" s="388" t="s">
        <v>448</v>
      </c>
      <c r="D45" s="387" t="s">
        <v>164</v>
      </c>
      <c r="E45" s="389">
        <v>1</v>
      </c>
      <c r="F45" s="390">
        <v>1743.2012389999998</v>
      </c>
      <c r="G45" s="390">
        <v>1743.2012389999998</v>
      </c>
      <c r="H45" s="401">
        <f t="shared" si="2"/>
        <v>5.1782610976444142E-3</v>
      </c>
      <c r="I45" s="402">
        <f t="shared" si="1"/>
        <v>0.83897411218320106</v>
      </c>
      <c r="J45" s="416" t="s">
        <v>275</v>
      </c>
    </row>
    <row r="46" spans="1:10" x14ac:dyDescent="0.25">
      <c r="A46" s="415" t="s">
        <v>333</v>
      </c>
      <c r="B46" s="387" t="s">
        <v>176</v>
      </c>
      <c r="C46" s="388" t="s">
        <v>312</v>
      </c>
      <c r="D46" s="387" t="s">
        <v>164</v>
      </c>
      <c r="E46" s="389">
        <v>36</v>
      </c>
      <c r="F46" s="390">
        <v>48.400143999999997</v>
      </c>
      <c r="G46" s="390">
        <v>1742.405184</v>
      </c>
      <c r="H46" s="401">
        <f t="shared" si="2"/>
        <v>5.1758963789040532E-3</v>
      </c>
      <c r="I46" s="402">
        <f t="shared" si="1"/>
        <v>0.84415000856210509</v>
      </c>
      <c r="J46" s="416" t="s">
        <v>275</v>
      </c>
    </row>
    <row r="47" spans="1:10" x14ac:dyDescent="0.25">
      <c r="A47" s="415" t="s">
        <v>793</v>
      </c>
      <c r="B47" s="387" t="s">
        <v>176</v>
      </c>
      <c r="C47" s="388" t="s">
        <v>553</v>
      </c>
      <c r="D47" s="387" t="s">
        <v>164</v>
      </c>
      <c r="E47" s="389">
        <v>36</v>
      </c>
      <c r="F47" s="390">
        <v>48.400143999999997</v>
      </c>
      <c r="G47" s="390">
        <v>1742.405184</v>
      </c>
      <c r="H47" s="401">
        <f t="shared" si="2"/>
        <v>5.1758963789040532E-3</v>
      </c>
      <c r="I47" s="402">
        <f t="shared" si="1"/>
        <v>0.84932590494100912</v>
      </c>
      <c r="J47" s="416" t="s">
        <v>275</v>
      </c>
    </row>
    <row r="48" spans="1:10" x14ac:dyDescent="0.25">
      <c r="A48" s="415" t="s">
        <v>41</v>
      </c>
      <c r="B48" s="388" t="s">
        <v>8</v>
      </c>
      <c r="C48" s="388" t="s">
        <v>40</v>
      </c>
      <c r="D48" s="387" t="s">
        <v>114</v>
      </c>
      <c r="E48" s="389">
        <v>200.49</v>
      </c>
      <c r="F48" s="390">
        <v>8.6831229999999984</v>
      </c>
      <c r="G48" s="390">
        <v>1740.8793302699999</v>
      </c>
      <c r="H48" s="401">
        <f t="shared" si="2"/>
        <v>5.1713637587831032E-3</v>
      </c>
      <c r="I48" s="402">
        <f t="shared" si="1"/>
        <v>0.85449726869979226</v>
      </c>
      <c r="J48" s="416" t="s">
        <v>275</v>
      </c>
    </row>
    <row r="49" spans="1:10" ht="30" x14ac:dyDescent="0.25">
      <c r="A49" s="415" t="s">
        <v>704</v>
      </c>
      <c r="B49" s="387" t="s">
        <v>8</v>
      </c>
      <c r="C49" s="388" t="s">
        <v>703</v>
      </c>
      <c r="D49" s="387" t="s">
        <v>156</v>
      </c>
      <c r="E49" s="389">
        <v>54</v>
      </c>
      <c r="F49" s="390">
        <v>31.707483</v>
      </c>
      <c r="G49" s="390">
        <v>1712.204082</v>
      </c>
      <c r="H49" s="401">
        <f t="shared" si="2"/>
        <v>5.0861825879235552E-3</v>
      </c>
      <c r="I49" s="402">
        <f t="shared" si="1"/>
        <v>0.85958345128771585</v>
      </c>
      <c r="J49" s="416" t="s">
        <v>275</v>
      </c>
    </row>
    <row r="50" spans="1:10" ht="45" x14ac:dyDescent="0.25">
      <c r="A50" s="415" t="s">
        <v>639</v>
      </c>
      <c r="B50" s="387" t="s">
        <v>8</v>
      </c>
      <c r="C50" s="388" t="s">
        <v>638</v>
      </c>
      <c r="D50" s="387" t="s">
        <v>114</v>
      </c>
      <c r="E50" s="389">
        <v>85.33</v>
      </c>
      <c r="F50" s="390">
        <v>20.036091999999996</v>
      </c>
      <c r="G50" s="390">
        <v>1709.6797303599997</v>
      </c>
      <c r="H50" s="401">
        <f t="shared" si="2"/>
        <v>5.0786838828964249E-3</v>
      </c>
      <c r="I50" s="402">
        <f t="shared" si="1"/>
        <v>0.8646621351706123</v>
      </c>
      <c r="J50" s="416" t="s">
        <v>275</v>
      </c>
    </row>
    <row r="51" spans="1:10" ht="30" x14ac:dyDescent="0.25">
      <c r="A51" s="415">
        <v>95802</v>
      </c>
      <c r="B51" s="387" t="s">
        <v>19</v>
      </c>
      <c r="C51" s="388" t="s">
        <v>415</v>
      </c>
      <c r="D51" s="387" t="s">
        <v>164</v>
      </c>
      <c r="E51" s="389">
        <v>28</v>
      </c>
      <c r="F51" s="390">
        <v>60.328721999999992</v>
      </c>
      <c r="G51" s="390">
        <v>1689.2042159999999</v>
      </c>
      <c r="H51" s="401">
        <f t="shared" si="2"/>
        <v>5.0178604064712532E-3</v>
      </c>
      <c r="I51" s="402">
        <f t="shared" si="1"/>
        <v>0.86967999557708353</v>
      </c>
      <c r="J51" s="416" t="s">
        <v>275</v>
      </c>
    </row>
    <row r="52" spans="1:10" ht="30" x14ac:dyDescent="0.25">
      <c r="A52" s="415" t="s">
        <v>629</v>
      </c>
      <c r="B52" s="387" t="s">
        <v>8</v>
      </c>
      <c r="C52" s="388" t="s">
        <v>603</v>
      </c>
      <c r="D52" s="387" t="s">
        <v>82</v>
      </c>
      <c r="E52" s="392">
        <v>5.0000000000000001E-3</v>
      </c>
      <c r="F52" s="390">
        <v>335435.38262452791</v>
      </c>
      <c r="G52" s="390">
        <v>1677.1769131226395</v>
      </c>
      <c r="H52" s="401">
        <f t="shared" si="2"/>
        <v>4.9821327387722849E-3</v>
      </c>
      <c r="I52" s="402">
        <f t="shared" si="1"/>
        <v>0.87466212831585577</v>
      </c>
      <c r="J52" s="416" t="s">
        <v>275</v>
      </c>
    </row>
    <row r="53" spans="1:10" ht="30" x14ac:dyDescent="0.25">
      <c r="A53" s="415" t="s">
        <v>179</v>
      </c>
      <c r="B53" s="387" t="s">
        <v>176</v>
      </c>
      <c r="C53" s="388" t="s">
        <v>773</v>
      </c>
      <c r="D53" s="387" t="s">
        <v>164</v>
      </c>
      <c r="E53" s="389">
        <v>1</v>
      </c>
      <c r="F53" s="390">
        <v>1673.8600000000001</v>
      </c>
      <c r="G53" s="390">
        <v>1673.8600000000001</v>
      </c>
      <c r="H53" s="401">
        <f t="shared" si="2"/>
        <v>4.9722796926620818E-3</v>
      </c>
      <c r="I53" s="402">
        <f t="shared" si="1"/>
        <v>0.87963440800851789</v>
      </c>
      <c r="J53" s="416" t="s">
        <v>275</v>
      </c>
    </row>
    <row r="54" spans="1:10" ht="30" x14ac:dyDescent="0.25">
      <c r="A54" s="415" t="s">
        <v>414</v>
      </c>
      <c r="B54" s="387" t="s">
        <v>8</v>
      </c>
      <c r="C54" s="388" t="s">
        <v>413</v>
      </c>
      <c r="D54" s="387" t="s">
        <v>156</v>
      </c>
      <c r="E54" s="389">
        <v>60</v>
      </c>
      <c r="F54" s="390">
        <v>26.710706999999996</v>
      </c>
      <c r="G54" s="390">
        <v>1602.6424199999997</v>
      </c>
      <c r="H54" s="401">
        <f t="shared" si="2"/>
        <v>4.7607245286731348E-3</v>
      </c>
      <c r="I54" s="402">
        <f t="shared" si="1"/>
        <v>0.88439513253719104</v>
      </c>
      <c r="J54" s="416" t="s">
        <v>275</v>
      </c>
    </row>
    <row r="55" spans="1:10" ht="30" customHeight="1" x14ac:dyDescent="0.25">
      <c r="A55" s="415" t="s">
        <v>412</v>
      </c>
      <c r="B55" s="387" t="s">
        <v>8</v>
      </c>
      <c r="C55" s="388" t="s">
        <v>452</v>
      </c>
      <c r="D55" s="387" t="s">
        <v>156</v>
      </c>
      <c r="E55" s="389">
        <v>57</v>
      </c>
      <c r="F55" s="390">
        <v>27.139351999999999</v>
      </c>
      <c r="G55" s="390">
        <v>1546.9430639999998</v>
      </c>
      <c r="H55" s="401">
        <f t="shared" si="2"/>
        <v>4.5952669774244311E-3</v>
      </c>
      <c r="I55" s="402">
        <f t="shared" si="1"/>
        <v>0.88899039951461545</v>
      </c>
      <c r="J55" s="416" t="s">
        <v>275</v>
      </c>
    </row>
    <row r="56" spans="1:10" ht="30" x14ac:dyDescent="0.25">
      <c r="A56" s="415" t="s">
        <v>705</v>
      </c>
      <c r="B56" s="387" t="s">
        <v>8</v>
      </c>
      <c r="C56" s="388" t="s">
        <v>706</v>
      </c>
      <c r="D56" s="387" t="s">
        <v>164</v>
      </c>
      <c r="E56" s="389">
        <v>18</v>
      </c>
      <c r="F56" s="390">
        <v>84.19812499999999</v>
      </c>
      <c r="G56" s="390">
        <v>1515.5662499999999</v>
      </c>
      <c r="H56" s="401">
        <f t="shared" si="2"/>
        <v>4.5020606787658608E-3</v>
      </c>
      <c r="I56" s="402">
        <f t="shared" si="1"/>
        <v>0.89349246019338135</v>
      </c>
      <c r="J56" s="416" t="s">
        <v>275</v>
      </c>
    </row>
    <row r="57" spans="1:10" ht="30" x14ac:dyDescent="0.25">
      <c r="A57" s="415">
        <v>92005</v>
      </c>
      <c r="B57" s="387" t="s">
        <v>19</v>
      </c>
      <c r="C57" s="388" t="s">
        <v>431</v>
      </c>
      <c r="D57" s="387" t="s">
        <v>164</v>
      </c>
      <c r="E57" s="389">
        <v>18</v>
      </c>
      <c r="F57" s="390">
        <v>72.734932999999998</v>
      </c>
      <c r="G57" s="390">
        <v>1309.2287939999999</v>
      </c>
      <c r="H57" s="401">
        <f t="shared" si="2"/>
        <v>3.8891255812640649E-3</v>
      </c>
      <c r="I57" s="402">
        <f t="shared" si="1"/>
        <v>0.89738158577464544</v>
      </c>
      <c r="J57" s="416" t="s">
        <v>275</v>
      </c>
    </row>
    <row r="58" spans="1:10" x14ac:dyDescent="0.25">
      <c r="A58" s="417" t="s">
        <v>794</v>
      </c>
      <c r="B58" s="388" t="s">
        <v>176</v>
      </c>
      <c r="C58" s="388" t="s">
        <v>43</v>
      </c>
      <c r="D58" s="387" t="s">
        <v>114</v>
      </c>
      <c r="E58" s="389">
        <v>200.49</v>
      </c>
      <c r="F58" s="390">
        <v>6.3296549756999996</v>
      </c>
      <c r="G58" s="390">
        <v>1269.032526078093</v>
      </c>
      <c r="H58" s="401">
        <f t="shared" si="2"/>
        <v>3.7697206807891736E-3</v>
      </c>
      <c r="I58" s="402">
        <f t="shared" si="1"/>
        <v>0.90115130645543462</v>
      </c>
      <c r="J58" s="416" t="s">
        <v>275</v>
      </c>
    </row>
    <row r="59" spans="1:10" ht="30" x14ac:dyDescent="0.25">
      <c r="A59" s="415" t="s">
        <v>791</v>
      </c>
      <c r="B59" s="387" t="s">
        <v>176</v>
      </c>
      <c r="C59" s="388" t="s">
        <v>777</v>
      </c>
      <c r="D59" s="387" t="s">
        <v>164</v>
      </c>
      <c r="E59" s="389">
        <v>1</v>
      </c>
      <c r="F59" s="390">
        <v>1237.412386</v>
      </c>
      <c r="G59" s="390">
        <v>1237.412386</v>
      </c>
      <c r="H59" s="401">
        <f t="shared" si="2"/>
        <v>3.6757915705951114E-3</v>
      </c>
      <c r="I59" s="402">
        <f t="shared" si="1"/>
        <v>0.90482709802602979</v>
      </c>
      <c r="J59" s="416" t="s">
        <v>275</v>
      </c>
    </row>
    <row r="60" spans="1:10" x14ac:dyDescent="0.25">
      <c r="A60" s="415" t="s">
        <v>600</v>
      </c>
      <c r="B60" s="387" t="s">
        <v>153</v>
      </c>
      <c r="C60" s="388" t="s">
        <v>602</v>
      </c>
      <c r="D60" s="387" t="s">
        <v>104</v>
      </c>
      <c r="E60" s="389">
        <v>18.899999999999999</v>
      </c>
      <c r="F60" s="390">
        <v>64.287564750000001</v>
      </c>
      <c r="G60" s="390">
        <v>1215.034973775</v>
      </c>
      <c r="H60" s="401">
        <f t="shared" si="2"/>
        <v>3.6093184172963319E-3</v>
      </c>
      <c r="I60" s="402">
        <f t="shared" si="1"/>
        <v>0.90843641644332607</v>
      </c>
      <c r="J60" s="416" t="s">
        <v>275</v>
      </c>
    </row>
    <row r="61" spans="1:10" ht="30" x14ac:dyDescent="0.25">
      <c r="A61" s="415" t="s">
        <v>414</v>
      </c>
      <c r="B61" s="387" t="s">
        <v>8</v>
      </c>
      <c r="C61" s="388" t="s">
        <v>413</v>
      </c>
      <c r="D61" s="387" t="s">
        <v>156</v>
      </c>
      <c r="E61" s="389">
        <v>45</v>
      </c>
      <c r="F61" s="390">
        <v>26.710706999999996</v>
      </c>
      <c r="G61" s="390">
        <v>1201.9818149999999</v>
      </c>
      <c r="H61" s="401">
        <f t="shared" si="2"/>
        <v>3.5705433965048513E-3</v>
      </c>
      <c r="I61" s="402">
        <f t="shared" si="1"/>
        <v>0.91200695983983093</v>
      </c>
      <c r="J61" s="416" t="s">
        <v>275</v>
      </c>
    </row>
    <row r="62" spans="1:10" ht="45" x14ac:dyDescent="0.25">
      <c r="A62" s="415">
        <v>97332</v>
      </c>
      <c r="B62" s="387" t="s">
        <v>19</v>
      </c>
      <c r="C62" s="388" t="s">
        <v>575</v>
      </c>
      <c r="D62" s="387" t="s">
        <v>156</v>
      </c>
      <c r="E62" s="389">
        <v>20</v>
      </c>
      <c r="F62" s="390">
        <v>54.523643999999997</v>
      </c>
      <c r="G62" s="390">
        <v>1090.47288</v>
      </c>
      <c r="H62" s="401">
        <f t="shared" si="2"/>
        <v>3.2393008714126244E-3</v>
      </c>
      <c r="I62" s="402">
        <f t="shared" si="1"/>
        <v>0.9152462607112436</v>
      </c>
      <c r="J62" s="416" t="s">
        <v>275</v>
      </c>
    </row>
    <row r="63" spans="1:10" x14ac:dyDescent="0.25">
      <c r="A63" s="415" t="s">
        <v>158</v>
      </c>
      <c r="B63" s="387" t="s">
        <v>113</v>
      </c>
      <c r="C63" s="388" t="s">
        <v>111</v>
      </c>
      <c r="D63" s="387" t="s">
        <v>114</v>
      </c>
      <c r="E63" s="389">
        <v>18.474939999999997</v>
      </c>
      <c r="F63" s="390">
        <v>56.09885767592592</v>
      </c>
      <c r="G63" s="390">
        <v>1036.4230296312705</v>
      </c>
      <c r="H63" s="401">
        <f t="shared" si="2"/>
        <v>3.0787432540611984E-3</v>
      </c>
      <c r="I63" s="402">
        <f t="shared" si="1"/>
        <v>0.91832500396530481</v>
      </c>
      <c r="J63" s="416" t="s">
        <v>275</v>
      </c>
    </row>
    <row r="64" spans="1:10" ht="30" x14ac:dyDescent="0.25">
      <c r="A64" s="415" t="s">
        <v>161</v>
      </c>
      <c r="B64" s="387" t="s">
        <v>113</v>
      </c>
      <c r="C64" s="388" t="s">
        <v>473</v>
      </c>
      <c r="D64" s="387" t="s">
        <v>156</v>
      </c>
      <c r="E64" s="389">
        <v>51.42</v>
      </c>
      <c r="F64" s="390">
        <v>20.0926890611</v>
      </c>
      <c r="G64" s="390">
        <v>1033.166071521762</v>
      </c>
      <c r="H64" s="401">
        <f t="shared" si="2"/>
        <v>3.0690683071314907E-3</v>
      </c>
      <c r="I64" s="402">
        <f t="shared" si="1"/>
        <v>0.9213940722724363</v>
      </c>
      <c r="J64" s="416" t="s">
        <v>275</v>
      </c>
    </row>
    <row r="65" spans="1:10" ht="30" x14ac:dyDescent="0.25">
      <c r="A65" s="415">
        <v>95802</v>
      </c>
      <c r="B65" s="387" t="s">
        <v>19</v>
      </c>
      <c r="C65" s="388" t="s">
        <v>415</v>
      </c>
      <c r="D65" s="387" t="s">
        <v>164</v>
      </c>
      <c r="E65" s="389">
        <v>15</v>
      </c>
      <c r="F65" s="390">
        <v>60.328721999999992</v>
      </c>
      <c r="G65" s="390">
        <v>904.9308299999999</v>
      </c>
      <c r="H65" s="401">
        <f t="shared" si="2"/>
        <v>2.6881395034667427E-3</v>
      </c>
      <c r="I65" s="402">
        <f t="shared" si="1"/>
        <v>0.924082211775903</v>
      </c>
      <c r="J65" s="416" t="s">
        <v>275</v>
      </c>
    </row>
    <row r="66" spans="1:10" ht="45" x14ac:dyDescent="0.25">
      <c r="A66" s="415">
        <v>97334</v>
      </c>
      <c r="B66" s="387" t="s">
        <v>19</v>
      </c>
      <c r="C66" s="388" t="s">
        <v>576</v>
      </c>
      <c r="D66" s="387" t="s">
        <v>156</v>
      </c>
      <c r="E66" s="389">
        <v>10</v>
      </c>
      <c r="F66" s="390">
        <v>84.712498999999994</v>
      </c>
      <c r="G66" s="390">
        <v>847.12498999999991</v>
      </c>
      <c r="H66" s="401">
        <f t="shared" si="2"/>
        <v>2.5164245426281579E-3</v>
      </c>
      <c r="I66" s="402">
        <f t="shared" si="1"/>
        <v>0.92659863631853112</v>
      </c>
      <c r="J66" s="416" t="s">
        <v>275</v>
      </c>
    </row>
    <row r="67" spans="1:10" ht="30" x14ac:dyDescent="0.25">
      <c r="A67" s="415">
        <v>91940</v>
      </c>
      <c r="B67" s="387" t="s">
        <v>19</v>
      </c>
      <c r="C67" s="388" t="s">
        <v>172</v>
      </c>
      <c r="D67" s="387" t="s">
        <v>164</v>
      </c>
      <c r="E67" s="389">
        <v>38</v>
      </c>
      <c r="F67" s="390">
        <v>21.909883000000001</v>
      </c>
      <c r="G67" s="390">
        <v>832.57555400000001</v>
      </c>
      <c r="H67" s="401">
        <f t="shared" si="2"/>
        <v>2.473204760112006E-3</v>
      </c>
      <c r="I67" s="402">
        <f t="shared" si="1"/>
        <v>0.92907184107864316</v>
      </c>
      <c r="J67" s="416" t="s">
        <v>275</v>
      </c>
    </row>
    <row r="68" spans="1:10" ht="30" x14ac:dyDescent="0.25">
      <c r="A68" s="415" t="s">
        <v>412</v>
      </c>
      <c r="B68" s="387" t="s">
        <v>8</v>
      </c>
      <c r="C68" s="388" t="s">
        <v>411</v>
      </c>
      <c r="D68" s="387" t="s">
        <v>156</v>
      </c>
      <c r="E68" s="389">
        <v>30</v>
      </c>
      <c r="F68" s="390">
        <v>27.139351999999999</v>
      </c>
      <c r="G68" s="390">
        <v>814.18056000000001</v>
      </c>
      <c r="H68" s="401">
        <f t="shared" si="2"/>
        <v>2.4185615670654905E-3</v>
      </c>
      <c r="I68" s="402">
        <f t="shared" si="1"/>
        <v>0.93149040264570859</v>
      </c>
      <c r="J68" s="416" t="s">
        <v>275</v>
      </c>
    </row>
    <row r="69" spans="1:10" ht="30" x14ac:dyDescent="0.25">
      <c r="A69" s="415">
        <v>91997</v>
      </c>
      <c r="B69" s="387" t="s">
        <v>19</v>
      </c>
      <c r="C69" s="388" t="s">
        <v>430</v>
      </c>
      <c r="D69" s="387" t="s">
        <v>164</v>
      </c>
      <c r="E69" s="389">
        <v>18</v>
      </c>
      <c r="F69" s="390">
        <v>44.885254999999994</v>
      </c>
      <c r="G69" s="390">
        <v>807.93458999999984</v>
      </c>
      <c r="H69" s="401">
        <f t="shared" si="2"/>
        <v>2.4000076200257274E-3</v>
      </c>
      <c r="I69" s="402">
        <f t="shared" si="1"/>
        <v>0.93389041026573427</v>
      </c>
      <c r="J69" s="416" t="s">
        <v>275</v>
      </c>
    </row>
    <row r="70" spans="1:10" x14ac:dyDescent="0.25">
      <c r="A70" s="415">
        <v>10268</v>
      </c>
      <c r="B70" s="387" t="s">
        <v>153</v>
      </c>
      <c r="C70" s="388" t="s">
        <v>701</v>
      </c>
      <c r="D70" s="387" t="s">
        <v>164</v>
      </c>
      <c r="E70" s="389">
        <v>18</v>
      </c>
      <c r="F70" s="390">
        <v>43.868753999999996</v>
      </c>
      <c r="G70" s="390">
        <v>789.63757199999986</v>
      </c>
      <c r="H70" s="401">
        <f t="shared" si="2"/>
        <v>2.3456554692857178E-3</v>
      </c>
      <c r="I70" s="402">
        <f t="shared" si="1"/>
        <v>0.93623606573501994</v>
      </c>
      <c r="J70" s="416" t="s">
        <v>275</v>
      </c>
    </row>
    <row r="71" spans="1:10" x14ac:dyDescent="0.25">
      <c r="A71" s="415">
        <v>11817</v>
      </c>
      <c r="B71" s="387" t="s">
        <v>153</v>
      </c>
      <c r="C71" s="388" t="s">
        <v>417</v>
      </c>
      <c r="D71" s="387" t="s">
        <v>164</v>
      </c>
      <c r="E71" s="389">
        <v>66</v>
      </c>
      <c r="F71" s="390">
        <v>11.818354999999999</v>
      </c>
      <c r="G71" s="390">
        <v>780.0114299999999</v>
      </c>
      <c r="H71" s="401">
        <f t="shared" ref="H71:H102" si="3">G71/$G$162</f>
        <v>2.3170605626714959E-3</v>
      </c>
      <c r="I71" s="402">
        <f t="shared" si="1"/>
        <v>0.93855312629769139</v>
      </c>
      <c r="J71" s="416" t="s">
        <v>275</v>
      </c>
    </row>
    <row r="72" spans="1:10" ht="45" x14ac:dyDescent="0.25">
      <c r="A72" s="415" t="s">
        <v>324</v>
      </c>
      <c r="B72" s="387" t="s">
        <v>8</v>
      </c>
      <c r="C72" s="388" t="s">
        <v>325</v>
      </c>
      <c r="D72" s="387" t="s">
        <v>114</v>
      </c>
      <c r="E72" s="389">
        <v>111.02000000000001</v>
      </c>
      <c r="F72" s="390">
        <v>6.6868619999999996</v>
      </c>
      <c r="G72" s="390">
        <v>742.37541924000004</v>
      </c>
      <c r="H72" s="401">
        <f t="shared" si="3"/>
        <v>2.2052610262617849E-3</v>
      </c>
      <c r="I72" s="402">
        <f t="shared" si="1"/>
        <v>0.94075838732395323</v>
      </c>
      <c r="J72" s="416" t="s">
        <v>275</v>
      </c>
    </row>
    <row r="73" spans="1:10" ht="30" x14ac:dyDescent="0.25">
      <c r="A73" s="415" t="s">
        <v>440</v>
      </c>
      <c r="B73" s="387" t="s">
        <v>578</v>
      </c>
      <c r="C73" s="388" t="s">
        <v>439</v>
      </c>
      <c r="D73" s="387" t="s">
        <v>156</v>
      </c>
      <c r="E73" s="389">
        <v>40</v>
      </c>
      <c r="F73" s="390">
        <v>17.712836100000001</v>
      </c>
      <c r="G73" s="390">
        <v>708.51344400000005</v>
      </c>
      <c r="H73" s="401">
        <f t="shared" si="3"/>
        <v>2.1046724394986876E-3</v>
      </c>
      <c r="I73" s="402">
        <f t="shared" ref="I73:I136" si="4">I72+H73</f>
        <v>0.94286305976345186</v>
      </c>
      <c r="J73" s="416" t="s">
        <v>275</v>
      </c>
    </row>
    <row r="74" spans="1:10" x14ac:dyDescent="0.25">
      <c r="A74" s="415" t="s">
        <v>459</v>
      </c>
      <c r="B74" s="387" t="s">
        <v>8</v>
      </c>
      <c r="C74" s="388" t="s">
        <v>458</v>
      </c>
      <c r="D74" s="387" t="s">
        <v>164</v>
      </c>
      <c r="E74" s="389">
        <v>37</v>
      </c>
      <c r="F74" s="390">
        <v>19.105319999999999</v>
      </c>
      <c r="G74" s="390">
        <v>706.89684</v>
      </c>
      <c r="H74" s="401">
        <f t="shared" si="3"/>
        <v>2.0998702414413372E-3</v>
      </c>
      <c r="I74" s="402">
        <f t="shared" si="4"/>
        <v>0.94496293000489318</v>
      </c>
      <c r="J74" s="416" t="s">
        <v>275</v>
      </c>
    </row>
    <row r="75" spans="1:10" ht="30" x14ac:dyDescent="0.25">
      <c r="A75" s="415" t="s">
        <v>332</v>
      </c>
      <c r="B75" s="387" t="s">
        <v>176</v>
      </c>
      <c r="C75" s="388" t="s">
        <v>315</v>
      </c>
      <c r="D75" s="389" t="s">
        <v>164</v>
      </c>
      <c r="E75" s="389">
        <v>29</v>
      </c>
      <c r="F75" s="390">
        <v>24.200071999999999</v>
      </c>
      <c r="G75" s="390">
        <v>701.80208799999991</v>
      </c>
      <c r="H75" s="401">
        <f t="shared" si="3"/>
        <v>2.0847360415030209E-3</v>
      </c>
      <c r="I75" s="402">
        <f t="shared" si="4"/>
        <v>0.94704766604639623</v>
      </c>
      <c r="J75" s="416" t="s">
        <v>275</v>
      </c>
    </row>
    <row r="76" spans="1:10" ht="30" x14ac:dyDescent="0.25">
      <c r="A76" s="415" t="s">
        <v>349</v>
      </c>
      <c r="B76" s="387" t="s">
        <v>8</v>
      </c>
      <c r="C76" s="388" t="s">
        <v>350</v>
      </c>
      <c r="D76" s="387" t="s">
        <v>156</v>
      </c>
      <c r="E76" s="389">
        <v>25.130000000000003</v>
      </c>
      <c r="F76" s="390">
        <v>27.849677999999997</v>
      </c>
      <c r="G76" s="390">
        <v>699.86240813999996</v>
      </c>
      <c r="H76" s="401">
        <f t="shared" si="3"/>
        <v>2.0789741314399673E-3</v>
      </c>
      <c r="I76" s="402">
        <f t="shared" si="4"/>
        <v>0.94912664017783621</v>
      </c>
      <c r="J76" s="416" t="s">
        <v>275</v>
      </c>
    </row>
    <row r="77" spans="1:10" ht="45" x14ac:dyDescent="0.25">
      <c r="A77" s="415" t="s">
        <v>753</v>
      </c>
      <c r="B77" s="387" t="s">
        <v>8</v>
      </c>
      <c r="C77" s="388" t="s">
        <v>752</v>
      </c>
      <c r="D77" s="387" t="s">
        <v>114</v>
      </c>
      <c r="E77" s="389">
        <v>42.664999999999999</v>
      </c>
      <c r="F77" s="390">
        <v>15.565937</v>
      </c>
      <c r="G77" s="390">
        <v>664.12070210499996</v>
      </c>
      <c r="H77" s="401">
        <f t="shared" si="3"/>
        <v>1.972801716125109E-3</v>
      </c>
      <c r="I77" s="402">
        <f t="shared" si="4"/>
        <v>0.95109944189396134</v>
      </c>
      <c r="J77" s="416" t="s">
        <v>275</v>
      </c>
    </row>
    <row r="78" spans="1:10" ht="30" x14ac:dyDescent="0.25">
      <c r="A78" s="383" t="s">
        <v>337</v>
      </c>
      <c r="B78" s="378" t="s">
        <v>8</v>
      </c>
      <c r="C78" s="379" t="s">
        <v>336</v>
      </c>
      <c r="D78" s="378" t="s">
        <v>114</v>
      </c>
      <c r="E78" s="380">
        <v>62.17</v>
      </c>
      <c r="F78" s="381">
        <v>10.618148999999999</v>
      </c>
      <c r="G78" s="381">
        <v>660.1303233299999</v>
      </c>
      <c r="H78" s="384">
        <f t="shared" si="3"/>
        <v>1.960948108685441E-3</v>
      </c>
      <c r="I78" s="385">
        <f t="shared" si="4"/>
        <v>0.95306039000264675</v>
      </c>
      <c r="J78" s="386" t="s">
        <v>627</v>
      </c>
    </row>
    <row r="79" spans="1:10" ht="30" x14ac:dyDescent="0.25">
      <c r="A79" s="383">
        <v>95801</v>
      </c>
      <c r="B79" s="378" t="s">
        <v>19</v>
      </c>
      <c r="C79" s="379" t="s">
        <v>416</v>
      </c>
      <c r="D79" s="378" t="s">
        <v>164</v>
      </c>
      <c r="E79" s="380">
        <v>13</v>
      </c>
      <c r="F79" s="381">
        <v>48.743059999999993</v>
      </c>
      <c r="G79" s="381">
        <v>633.65977999999996</v>
      </c>
      <c r="H79" s="384">
        <f t="shared" si="3"/>
        <v>1.8823161173280455E-3</v>
      </c>
      <c r="I79" s="385">
        <f t="shared" si="4"/>
        <v>0.95494270611997478</v>
      </c>
      <c r="J79" s="386" t="s">
        <v>627</v>
      </c>
    </row>
    <row r="80" spans="1:10" ht="45" x14ac:dyDescent="0.25">
      <c r="A80" s="383" t="s">
        <v>12</v>
      </c>
      <c r="B80" s="378" t="s">
        <v>8</v>
      </c>
      <c r="C80" s="379" t="s">
        <v>323</v>
      </c>
      <c r="D80" s="378" t="s">
        <v>164</v>
      </c>
      <c r="E80" s="380">
        <v>45</v>
      </c>
      <c r="F80" s="381">
        <v>12.859349999999999</v>
      </c>
      <c r="G80" s="381">
        <v>578.67075</v>
      </c>
      <c r="H80" s="384">
        <f t="shared" si="3"/>
        <v>1.7189686228015104E-3</v>
      </c>
      <c r="I80" s="385">
        <f t="shared" si="4"/>
        <v>0.9566616747427763</v>
      </c>
      <c r="J80" s="386" t="s">
        <v>627</v>
      </c>
    </row>
    <row r="81" spans="1:10" ht="30" x14ac:dyDescent="0.25">
      <c r="A81" s="383">
        <v>91940</v>
      </c>
      <c r="B81" s="378" t="s">
        <v>19</v>
      </c>
      <c r="C81" s="379" t="s">
        <v>172</v>
      </c>
      <c r="D81" s="378" t="s">
        <v>164</v>
      </c>
      <c r="E81" s="380">
        <v>26</v>
      </c>
      <c r="F81" s="381">
        <v>21.909883000000001</v>
      </c>
      <c r="G81" s="381">
        <v>569.65695800000003</v>
      </c>
      <c r="H81" s="384">
        <f t="shared" si="3"/>
        <v>1.6921927306029515E-3</v>
      </c>
      <c r="I81" s="385">
        <f t="shared" si="4"/>
        <v>0.95835386747337925</v>
      </c>
      <c r="J81" s="386" t="s">
        <v>627</v>
      </c>
    </row>
    <row r="82" spans="1:10" x14ac:dyDescent="0.25">
      <c r="A82" s="383">
        <v>11303</v>
      </c>
      <c r="B82" s="378" t="s">
        <v>153</v>
      </c>
      <c r="C82" s="379" t="s">
        <v>446</v>
      </c>
      <c r="D82" s="378" t="s">
        <v>164</v>
      </c>
      <c r="E82" s="380">
        <v>84</v>
      </c>
      <c r="F82" s="381">
        <v>6.6868619999999996</v>
      </c>
      <c r="G82" s="381">
        <v>561.69640800000002</v>
      </c>
      <c r="H82" s="384">
        <f t="shared" si="3"/>
        <v>1.668545543199333E-3</v>
      </c>
      <c r="I82" s="385">
        <f t="shared" si="4"/>
        <v>0.96002241301657854</v>
      </c>
      <c r="J82" s="386" t="s">
        <v>627</v>
      </c>
    </row>
    <row r="83" spans="1:10" ht="30" x14ac:dyDescent="0.25">
      <c r="A83" s="383" t="s">
        <v>440</v>
      </c>
      <c r="B83" s="378" t="s">
        <v>578</v>
      </c>
      <c r="C83" s="379" t="s">
        <v>439</v>
      </c>
      <c r="D83" s="378" t="s">
        <v>156</v>
      </c>
      <c r="E83" s="380">
        <v>30</v>
      </c>
      <c r="F83" s="381">
        <v>17.712836100000001</v>
      </c>
      <c r="G83" s="381">
        <v>531.38508300000001</v>
      </c>
      <c r="H83" s="384">
        <f t="shared" si="3"/>
        <v>1.5785043296240157E-3</v>
      </c>
      <c r="I83" s="385">
        <f t="shared" si="4"/>
        <v>0.96160091734620257</v>
      </c>
      <c r="J83" s="386" t="s">
        <v>627</v>
      </c>
    </row>
    <row r="84" spans="1:10" ht="30" x14ac:dyDescent="0.25">
      <c r="A84" s="383" t="s">
        <v>162</v>
      </c>
      <c r="B84" s="378" t="s">
        <v>19</v>
      </c>
      <c r="C84" s="379" t="s">
        <v>677</v>
      </c>
      <c r="D84" s="378" t="s">
        <v>156</v>
      </c>
      <c r="E84" s="380">
        <v>44.32</v>
      </c>
      <c r="F84" s="381">
        <v>11.871282765598098</v>
      </c>
      <c r="G84" s="381">
        <v>526.13525217130768</v>
      </c>
      <c r="H84" s="384">
        <f t="shared" si="3"/>
        <v>1.5629094607464403E-3</v>
      </c>
      <c r="I84" s="385">
        <f t="shared" si="4"/>
        <v>0.96316382680694901</v>
      </c>
      <c r="J84" s="386" t="s">
        <v>627</v>
      </c>
    </row>
    <row r="85" spans="1:10" x14ac:dyDescent="0.25">
      <c r="A85" s="383" t="s">
        <v>419</v>
      </c>
      <c r="B85" s="378" t="s">
        <v>153</v>
      </c>
      <c r="C85" s="379" t="s">
        <v>420</v>
      </c>
      <c r="D85" s="378" t="s">
        <v>421</v>
      </c>
      <c r="E85" s="380">
        <v>100</v>
      </c>
      <c r="F85" s="381">
        <v>5.2539629999999997</v>
      </c>
      <c r="G85" s="381">
        <v>525.3963</v>
      </c>
      <c r="H85" s="384">
        <f t="shared" si="3"/>
        <v>1.5607143686388316E-3</v>
      </c>
      <c r="I85" s="385">
        <f t="shared" si="4"/>
        <v>0.96472454117558781</v>
      </c>
      <c r="J85" s="386" t="s">
        <v>627</v>
      </c>
    </row>
    <row r="86" spans="1:10" x14ac:dyDescent="0.25">
      <c r="A86" s="383">
        <v>10620</v>
      </c>
      <c r="B86" s="378" t="s">
        <v>153</v>
      </c>
      <c r="C86" s="379" t="s">
        <v>445</v>
      </c>
      <c r="D86" s="378" t="s">
        <v>164</v>
      </c>
      <c r="E86" s="380">
        <v>100</v>
      </c>
      <c r="F86" s="381">
        <v>5.1559869999999997</v>
      </c>
      <c r="G86" s="381">
        <v>515.59870000000001</v>
      </c>
      <c r="H86" s="384">
        <f t="shared" si="3"/>
        <v>1.5316101379882242E-3</v>
      </c>
      <c r="I86" s="385">
        <f t="shared" si="4"/>
        <v>0.96625615131357601</v>
      </c>
      <c r="J86" s="386" t="s">
        <v>627</v>
      </c>
    </row>
    <row r="87" spans="1:10" x14ac:dyDescent="0.25">
      <c r="A87" s="418" t="s">
        <v>792</v>
      </c>
      <c r="B87" s="378" t="s">
        <v>176</v>
      </c>
      <c r="C87" s="379" t="s">
        <v>687</v>
      </c>
      <c r="D87" s="378" t="s">
        <v>468</v>
      </c>
      <c r="E87" s="380">
        <v>1</v>
      </c>
      <c r="F87" s="381">
        <v>500.27770299999997</v>
      </c>
      <c r="G87" s="381">
        <v>500.27770299999997</v>
      </c>
      <c r="H87" s="384">
        <f t="shared" si="3"/>
        <v>1.4860983973083366E-3</v>
      </c>
      <c r="I87" s="385">
        <f t="shared" si="4"/>
        <v>0.96774224971088429</v>
      </c>
      <c r="J87" s="386" t="s">
        <v>627</v>
      </c>
    </row>
    <row r="88" spans="1:10" x14ac:dyDescent="0.25">
      <c r="A88" s="383" t="s">
        <v>787</v>
      </c>
      <c r="B88" s="378" t="s">
        <v>176</v>
      </c>
      <c r="C88" s="379" t="s">
        <v>717</v>
      </c>
      <c r="D88" s="378" t="s">
        <v>164</v>
      </c>
      <c r="E88" s="380">
        <v>8</v>
      </c>
      <c r="F88" s="381">
        <v>62.044526699999999</v>
      </c>
      <c r="G88" s="381">
        <v>496.35621359999999</v>
      </c>
      <c r="H88" s="384">
        <f t="shared" si="3"/>
        <v>1.4744494289904309E-3</v>
      </c>
      <c r="I88" s="385">
        <f t="shared" si="4"/>
        <v>0.96921669913987474</v>
      </c>
      <c r="J88" s="386" t="s">
        <v>627</v>
      </c>
    </row>
    <row r="89" spans="1:10" x14ac:dyDescent="0.25">
      <c r="A89" s="383" t="s">
        <v>453</v>
      </c>
      <c r="B89" s="378" t="s">
        <v>441</v>
      </c>
      <c r="C89" s="379" t="s">
        <v>454</v>
      </c>
      <c r="D89" s="378" t="s">
        <v>164</v>
      </c>
      <c r="E89" s="380">
        <v>54</v>
      </c>
      <c r="F89" s="381">
        <v>7.7939908000000004</v>
      </c>
      <c r="G89" s="381">
        <v>420.87550320000003</v>
      </c>
      <c r="H89" s="384">
        <f t="shared" si="3"/>
        <v>1.2502304360581501E-3</v>
      </c>
      <c r="I89" s="385">
        <f t="shared" si="4"/>
        <v>0.97046692957593284</v>
      </c>
      <c r="J89" s="386" t="s">
        <v>627</v>
      </c>
    </row>
    <row r="90" spans="1:10" ht="30" x14ac:dyDescent="0.25">
      <c r="A90" s="383" t="s">
        <v>785</v>
      </c>
      <c r="B90" s="378" t="s">
        <v>176</v>
      </c>
      <c r="C90" s="379" t="s">
        <v>377</v>
      </c>
      <c r="D90" s="378" t="s">
        <v>164</v>
      </c>
      <c r="E90" s="380">
        <v>1</v>
      </c>
      <c r="F90" s="381">
        <v>400.62508869999994</v>
      </c>
      <c r="G90" s="381">
        <v>400.62508869999994</v>
      </c>
      <c r="H90" s="384">
        <f t="shared" si="3"/>
        <v>1.1900756293321752E-3</v>
      </c>
      <c r="I90" s="385">
        <f t="shared" si="4"/>
        <v>0.97165700520526499</v>
      </c>
      <c r="J90" s="386" t="s">
        <v>627</v>
      </c>
    </row>
    <row r="91" spans="1:10" ht="30" x14ac:dyDescent="0.25">
      <c r="A91" s="383">
        <v>91940</v>
      </c>
      <c r="B91" s="378" t="s">
        <v>19</v>
      </c>
      <c r="C91" s="379" t="s">
        <v>172</v>
      </c>
      <c r="D91" s="378" t="s">
        <v>164</v>
      </c>
      <c r="E91" s="380">
        <v>18</v>
      </c>
      <c r="F91" s="381">
        <v>21.909883000000001</v>
      </c>
      <c r="G91" s="381">
        <v>394.37789400000003</v>
      </c>
      <c r="H91" s="384">
        <f t="shared" si="3"/>
        <v>1.1715180442635818E-3</v>
      </c>
      <c r="I91" s="385">
        <f t="shared" si="4"/>
        <v>0.97282852324952862</v>
      </c>
      <c r="J91" s="386" t="s">
        <v>627</v>
      </c>
    </row>
    <row r="92" spans="1:10" x14ac:dyDescent="0.25">
      <c r="A92" s="383" t="s">
        <v>178</v>
      </c>
      <c r="B92" s="378" t="s">
        <v>176</v>
      </c>
      <c r="C92" s="379" t="s">
        <v>772</v>
      </c>
      <c r="D92" s="378" t="s">
        <v>164</v>
      </c>
      <c r="E92" s="380">
        <v>1</v>
      </c>
      <c r="F92" s="381">
        <v>358.64</v>
      </c>
      <c r="G92" s="381">
        <v>358.64</v>
      </c>
      <c r="H92" s="384">
        <f t="shared" si="3"/>
        <v>1.0653569527776091E-3</v>
      </c>
      <c r="I92" s="385">
        <f t="shared" si="4"/>
        <v>0.97389388020230627</v>
      </c>
      <c r="J92" s="386" t="s">
        <v>627</v>
      </c>
    </row>
    <row r="93" spans="1:10" x14ac:dyDescent="0.25">
      <c r="A93" s="383">
        <v>11816</v>
      </c>
      <c r="B93" s="378" t="s">
        <v>153</v>
      </c>
      <c r="C93" s="379" t="s">
        <v>418</v>
      </c>
      <c r="D93" s="378" t="s">
        <v>164</v>
      </c>
      <c r="E93" s="380">
        <v>30</v>
      </c>
      <c r="F93" s="381">
        <v>11.254992999999999</v>
      </c>
      <c r="G93" s="381">
        <v>337.64978999999994</v>
      </c>
      <c r="H93" s="384">
        <f t="shared" si="3"/>
        <v>1.0030045487965638E-3</v>
      </c>
      <c r="I93" s="385">
        <f t="shared" si="4"/>
        <v>0.97489688475110281</v>
      </c>
      <c r="J93" s="386" t="s">
        <v>627</v>
      </c>
    </row>
    <row r="94" spans="1:10" ht="45" x14ac:dyDescent="0.25">
      <c r="A94" s="383">
        <v>97331</v>
      </c>
      <c r="B94" s="378" t="s">
        <v>19</v>
      </c>
      <c r="C94" s="379" t="s">
        <v>574</v>
      </c>
      <c r="D94" s="378" t="s">
        <v>156</v>
      </c>
      <c r="E94" s="380">
        <v>10</v>
      </c>
      <c r="F94" s="381">
        <v>32.846453999999994</v>
      </c>
      <c r="G94" s="381">
        <v>328.46453999999994</v>
      </c>
      <c r="H94" s="384">
        <f t="shared" si="3"/>
        <v>9.7571933256161909E-4</v>
      </c>
      <c r="I94" s="385">
        <f t="shared" si="4"/>
        <v>0.97587260408366439</v>
      </c>
      <c r="J94" s="386" t="s">
        <v>627</v>
      </c>
    </row>
    <row r="95" spans="1:10" ht="30" x14ac:dyDescent="0.25">
      <c r="A95" s="383" t="s">
        <v>342</v>
      </c>
      <c r="B95" s="378" t="s">
        <v>8</v>
      </c>
      <c r="C95" s="379" t="s">
        <v>341</v>
      </c>
      <c r="D95" s="378" t="s">
        <v>114</v>
      </c>
      <c r="E95" s="380">
        <v>7.6589999999999998</v>
      </c>
      <c r="F95" s="381">
        <v>42.264396999999995</v>
      </c>
      <c r="G95" s="381">
        <v>323.70301662299994</v>
      </c>
      <c r="H95" s="384">
        <f t="shared" si="3"/>
        <v>9.615750038880187E-4</v>
      </c>
      <c r="I95" s="385">
        <f t="shared" si="4"/>
        <v>0.97683417908755243</v>
      </c>
      <c r="J95" s="386" t="s">
        <v>627</v>
      </c>
    </row>
    <row r="96" spans="1:10" x14ac:dyDescent="0.25">
      <c r="A96" s="383" t="s">
        <v>577</v>
      </c>
      <c r="B96" s="379" t="s">
        <v>578</v>
      </c>
      <c r="C96" s="382" t="s">
        <v>564</v>
      </c>
      <c r="D96" s="378" t="s">
        <v>164</v>
      </c>
      <c r="E96" s="380">
        <v>3</v>
      </c>
      <c r="F96" s="381">
        <v>105.88021380000001</v>
      </c>
      <c r="G96" s="381">
        <v>317.64064140000005</v>
      </c>
      <c r="H96" s="384">
        <f t="shared" si="3"/>
        <v>9.4356643375036067E-4</v>
      </c>
      <c r="I96" s="385">
        <f t="shared" si="4"/>
        <v>0.97777774552130281</v>
      </c>
      <c r="J96" s="386" t="s">
        <v>627</v>
      </c>
    </row>
    <row r="97" spans="1:10" ht="30" x14ac:dyDescent="0.25">
      <c r="A97" s="383" t="s">
        <v>13</v>
      </c>
      <c r="B97" s="378" t="s">
        <v>8</v>
      </c>
      <c r="C97" s="379" t="s">
        <v>338</v>
      </c>
      <c r="D97" s="378" t="s">
        <v>156</v>
      </c>
      <c r="E97" s="380">
        <v>95.56</v>
      </c>
      <c r="F97" s="381">
        <v>3.3066900000000001</v>
      </c>
      <c r="G97" s="381">
        <v>315.98729640000005</v>
      </c>
      <c r="H97" s="384">
        <f t="shared" si="3"/>
        <v>9.3865509482807068E-4</v>
      </c>
      <c r="I97" s="385">
        <f t="shared" si="4"/>
        <v>0.97871640061613085</v>
      </c>
      <c r="J97" s="386" t="s">
        <v>627</v>
      </c>
    </row>
    <row r="98" spans="1:10" x14ac:dyDescent="0.25">
      <c r="A98" s="383" t="s">
        <v>10</v>
      </c>
      <c r="B98" s="378" t="s">
        <v>319</v>
      </c>
      <c r="C98" s="379" t="s">
        <v>243</v>
      </c>
      <c r="D98" s="378" t="s">
        <v>468</v>
      </c>
      <c r="E98" s="380">
        <v>1</v>
      </c>
      <c r="F98" s="381">
        <v>311.79637299999996</v>
      </c>
      <c r="G98" s="381">
        <v>311.79637299999996</v>
      </c>
      <c r="H98" s="384">
        <f t="shared" si="3"/>
        <v>9.2620576016727303E-4</v>
      </c>
      <c r="I98" s="385">
        <f t="shared" si="4"/>
        <v>0.97964260637629808</v>
      </c>
      <c r="J98" s="386" t="s">
        <v>627</v>
      </c>
    </row>
    <row r="99" spans="1:10" x14ac:dyDescent="0.25">
      <c r="A99" s="383" t="s">
        <v>616</v>
      </c>
      <c r="B99" s="379" t="s">
        <v>153</v>
      </c>
      <c r="C99" s="382" t="s">
        <v>467</v>
      </c>
      <c r="D99" s="378" t="s">
        <v>164</v>
      </c>
      <c r="E99" s="380">
        <v>10</v>
      </c>
      <c r="F99" s="381">
        <v>30.703228999999997</v>
      </c>
      <c r="G99" s="381">
        <v>307.03228999999999</v>
      </c>
      <c r="H99" s="384">
        <f t="shared" si="3"/>
        <v>9.1205382801341512E-4</v>
      </c>
      <c r="I99" s="385">
        <f t="shared" si="4"/>
        <v>0.98055466020431148</v>
      </c>
      <c r="J99" s="386" t="s">
        <v>627</v>
      </c>
    </row>
    <row r="100" spans="1:10" x14ac:dyDescent="0.25">
      <c r="A100" s="383" t="s">
        <v>615</v>
      </c>
      <c r="B100" s="379" t="s">
        <v>153</v>
      </c>
      <c r="C100" s="382" t="s">
        <v>547</v>
      </c>
      <c r="D100" s="378" t="s">
        <v>164</v>
      </c>
      <c r="E100" s="380">
        <v>10</v>
      </c>
      <c r="F100" s="381">
        <v>30.703228999999997</v>
      </c>
      <c r="G100" s="381">
        <v>307.03228999999999</v>
      </c>
      <c r="H100" s="384">
        <f t="shared" si="3"/>
        <v>9.1205382801341512E-4</v>
      </c>
      <c r="I100" s="385">
        <f t="shared" si="4"/>
        <v>0.98146671403232488</v>
      </c>
      <c r="J100" s="386" t="s">
        <v>627</v>
      </c>
    </row>
    <row r="101" spans="1:10" ht="45" x14ac:dyDescent="0.25">
      <c r="A101" s="383" t="s">
        <v>335</v>
      </c>
      <c r="B101" s="378" t="s">
        <v>8</v>
      </c>
      <c r="C101" s="379" t="s">
        <v>334</v>
      </c>
      <c r="D101" s="378" t="s">
        <v>114</v>
      </c>
      <c r="E101" s="380">
        <v>11.92</v>
      </c>
      <c r="F101" s="381">
        <v>25.045114999999996</v>
      </c>
      <c r="G101" s="381">
        <v>298.53777079999992</v>
      </c>
      <c r="H101" s="384">
        <f t="shared" si="3"/>
        <v>8.8682046003933819E-4</v>
      </c>
      <c r="I101" s="385">
        <f t="shared" si="4"/>
        <v>0.98235353449236418</v>
      </c>
      <c r="J101" s="386" t="s">
        <v>627</v>
      </c>
    </row>
    <row r="102" spans="1:10" ht="45" x14ac:dyDescent="0.25">
      <c r="A102" s="383" t="s">
        <v>107</v>
      </c>
      <c r="B102" s="378" t="s">
        <v>8</v>
      </c>
      <c r="C102" s="379" t="s">
        <v>331</v>
      </c>
      <c r="D102" s="380" t="s">
        <v>114</v>
      </c>
      <c r="E102" s="380">
        <v>13.11</v>
      </c>
      <c r="F102" s="381">
        <v>22.448750999999994</v>
      </c>
      <c r="G102" s="381">
        <v>294.30312560999994</v>
      </c>
      <c r="H102" s="384">
        <f t="shared" si="3"/>
        <v>8.7424124774926251E-4</v>
      </c>
      <c r="I102" s="385">
        <f t="shared" si="4"/>
        <v>0.98322777574011344</v>
      </c>
      <c r="J102" s="386" t="s">
        <v>627</v>
      </c>
    </row>
    <row r="103" spans="1:10" x14ac:dyDescent="0.25">
      <c r="A103" s="383">
        <v>90456</v>
      </c>
      <c r="B103" s="378" t="s">
        <v>19</v>
      </c>
      <c r="C103" s="379" t="s">
        <v>432</v>
      </c>
      <c r="D103" s="378" t="s">
        <v>164</v>
      </c>
      <c r="E103" s="380">
        <v>54</v>
      </c>
      <c r="F103" s="381">
        <v>5.3029509999999993</v>
      </c>
      <c r="G103" s="381">
        <v>286.35935399999994</v>
      </c>
      <c r="H103" s="384">
        <f t="shared" ref="H103:H134" si="5">G103/$G$162</f>
        <v>8.5064390134063298E-4</v>
      </c>
      <c r="I103" s="385">
        <f t="shared" si="4"/>
        <v>0.98407841964145404</v>
      </c>
      <c r="J103" s="386" t="s">
        <v>627</v>
      </c>
    </row>
    <row r="104" spans="1:10" x14ac:dyDescent="0.25">
      <c r="A104" s="383" t="s">
        <v>344</v>
      </c>
      <c r="B104" s="378" t="s">
        <v>176</v>
      </c>
      <c r="C104" s="379" t="s">
        <v>750</v>
      </c>
      <c r="D104" s="378" t="s">
        <v>468</v>
      </c>
      <c r="E104" s="380">
        <v>2</v>
      </c>
      <c r="F104" s="381">
        <v>135.34159700000001</v>
      </c>
      <c r="G104" s="381">
        <v>270.68319400000001</v>
      </c>
      <c r="H104" s="384">
        <f t="shared" si="5"/>
        <v>8.0407713229966107E-4</v>
      </c>
      <c r="I104" s="385">
        <f t="shared" si="4"/>
        <v>0.98488249677375372</v>
      </c>
      <c r="J104" s="386" t="s">
        <v>627</v>
      </c>
    </row>
    <row r="105" spans="1:10" ht="30" x14ac:dyDescent="0.25">
      <c r="A105" s="383">
        <v>95801</v>
      </c>
      <c r="B105" s="378" t="s">
        <v>19</v>
      </c>
      <c r="C105" s="379" t="s">
        <v>416</v>
      </c>
      <c r="D105" s="378" t="s">
        <v>164</v>
      </c>
      <c r="E105" s="380">
        <v>5</v>
      </c>
      <c r="F105" s="381">
        <v>48.743059999999993</v>
      </c>
      <c r="G105" s="381">
        <v>243.71529999999996</v>
      </c>
      <c r="H105" s="384">
        <f t="shared" si="5"/>
        <v>7.239677374338636E-4</v>
      </c>
      <c r="I105" s="385">
        <f t="shared" si="4"/>
        <v>0.98560646451118761</v>
      </c>
      <c r="J105" s="386" t="s">
        <v>627</v>
      </c>
    </row>
    <row r="106" spans="1:10" x14ac:dyDescent="0.25">
      <c r="A106" s="383">
        <v>11303</v>
      </c>
      <c r="B106" s="378" t="s">
        <v>153</v>
      </c>
      <c r="C106" s="379" t="s">
        <v>446</v>
      </c>
      <c r="D106" s="378" t="s">
        <v>164</v>
      </c>
      <c r="E106" s="380">
        <v>33</v>
      </c>
      <c r="F106" s="381">
        <v>6.6868619999999996</v>
      </c>
      <c r="G106" s="381">
        <v>220.66644599999998</v>
      </c>
      <c r="H106" s="384">
        <f t="shared" si="5"/>
        <v>6.5550003482830923E-4</v>
      </c>
      <c r="I106" s="385">
        <f t="shared" si="4"/>
        <v>0.98626196454601589</v>
      </c>
      <c r="J106" s="386" t="s">
        <v>627</v>
      </c>
    </row>
    <row r="107" spans="1:10" ht="30" x14ac:dyDescent="0.25">
      <c r="A107" s="383" t="s">
        <v>465</v>
      </c>
      <c r="B107" s="378" t="s">
        <v>434</v>
      </c>
      <c r="C107" s="379" t="s">
        <v>466</v>
      </c>
      <c r="D107" s="378" t="s">
        <v>114</v>
      </c>
      <c r="E107" s="380">
        <v>1.1390600000000002</v>
      </c>
      <c r="F107" s="381">
        <v>190.99196499999996</v>
      </c>
      <c r="G107" s="381">
        <v>217.55130765289999</v>
      </c>
      <c r="H107" s="384">
        <f t="shared" si="5"/>
        <v>6.4624637015915046E-4</v>
      </c>
      <c r="I107" s="385">
        <f t="shared" si="4"/>
        <v>0.98690821091617509</v>
      </c>
      <c r="J107" s="386" t="s">
        <v>627</v>
      </c>
    </row>
    <row r="108" spans="1:10" ht="30" x14ac:dyDescent="0.25">
      <c r="A108" s="383" t="s">
        <v>327</v>
      </c>
      <c r="B108" s="378" t="s">
        <v>176</v>
      </c>
      <c r="C108" s="379" t="s">
        <v>326</v>
      </c>
      <c r="D108" s="380" t="s">
        <v>114</v>
      </c>
      <c r="E108" s="380">
        <v>15.065000000000001</v>
      </c>
      <c r="F108" s="381">
        <v>13.1180697830826</v>
      </c>
      <c r="G108" s="381">
        <v>197.62372128213937</v>
      </c>
      <c r="H108" s="384">
        <f t="shared" si="5"/>
        <v>5.8705053954302797E-4</v>
      </c>
      <c r="I108" s="385">
        <f t="shared" si="4"/>
        <v>0.98749526145571809</v>
      </c>
      <c r="J108" s="386" t="s">
        <v>627</v>
      </c>
    </row>
    <row r="109" spans="1:10" ht="30" x14ac:dyDescent="0.25">
      <c r="A109" s="383">
        <v>97640</v>
      </c>
      <c r="B109" s="378" t="s">
        <v>19</v>
      </c>
      <c r="C109" s="379" t="s">
        <v>688</v>
      </c>
      <c r="D109" s="380" t="s">
        <v>114</v>
      </c>
      <c r="E109" s="380">
        <v>85.33</v>
      </c>
      <c r="F109" s="381">
        <v>2.2289539999999999</v>
      </c>
      <c r="G109" s="381">
        <v>190.19664481999999</v>
      </c>
      <c r="H109" s="384">
        <f t="shared" si="5"/>
        <v>5.6498806032221846E-4</v>
      </c>
      <c r="I109" s="385">
        <f t="shared" si="4"/>
        <v>0.98806024951604032</v>
      </c>
      <c r="J109" s="386" t="s">
        <v>627</v>
      </c>
    </row>
    <row r="110" spans="1:10" x14ac:dyDescent="0.25">
      <c r="A110" s="383">
        <v>98671</v>
      </c>
      <c r="B110" s="378" t="s">
        <v>19</v>
      </c>
      <c r="C110" s="379" t="s">
        <v>676</v>
      </c>
      <c r="D110" s="378" t="s">
        <v>156</v>
      </c>
      <c r="E110" s="380">
        <v>0.45449999999999996</v>
      </c>
      <c r="F110" s="381">
        <v>412.12379699999997</v>
      </c>
      <c r="G110" s="381">
        <v>187.31026573649996</v>
      </c>
      <c r="H110" s="384">
        <f t="shared" si="5"/>
        <v>5.564139357824053E-4</v>
      </c>
      <c r="I110" s="385">
        <f t="shared" si="4"/>
        <v>0.98861666345182275</v>
      </c>
      <c r="J110" s="386" t="s">
        <v>627</v>
      </c>
    </row>
    <row r="111" spans="1:10" ht="30" x14ac:dyDescent="0.25">
      <c r="A111" s="383">
        <v>96358</v>
      </c>
      <c r="B111" s="379" t="s">
        <v>19</v>
      </c>
      <c r="C111" s="379" t="s">
        <v>110</v>
      </c>
      <c r="D111" s="378" t="s">
        <v>114</v>
      </c>
      <c r="E111" s="380">
        <v>1.5227999999999999</v>
      </c>
      <c r="F111" s="381">
        <v>120.82890199999999</v>
      </c>
      <c r="G111" s="381">
        <v>183.99825196559996</v>
      </c>
      <c r="H111" s="384">
        <f t="shared" si="5"/>
        <v>5.4657544342649549E-4</v>
      </c>
      <c r="I111" s="385">
        <f t="shared" si="4"/>
        <v>0.98916323889524926</v>
      </c>
      <c r="J111" s="386" t="s">
        <v>627</v>
      </c>
    </row>
    <row r="112" spans="1:10" x14ac:dyDescent="0.25">
      <c r="A112" s="383">
        <v>10268</v>
      </c>
      <c r="B112" s="378" t="s">
        <v>153</v>
      </c>
      <c r="C112" s="379" t="s">
        <v>701</v>
      </c>
      <c r="D112" s="378" t="s">
        <v>164</v>
      </c>
      <c r="E112" s="380">
        <v>4</v>
      </c>
      <c r="F112" s="381">
        <v>43.868753999999996</v>
      </c>
      <c r="G112" s="381">
        <v>175.47501599999998</v>
      </c>
      <c r="H112" s="384">
        <f t="shared" si="5"/>
        <v>5.2125677095238179E-4</v>
      </c>
      <c r="I112" s="385">
        <f t="shared" si="4"/>
        <v>0.98968449566620165</v>
      </c>
      <c r="J112" s="386" t="s">
        <v>627</v>
      </c>
    </row>
    <row r="113" spans="1:10" x14ac:dyDescent="0.25">
      <c r="A113" s="383" t="s">
        <v>451</v>
      </c>
      <c r="B113" s="378" t="s">
        <v>8</v>
      </c>
      <c r="C113" s="379" t="s">
        <v>450</v>
      </c>
      <c r="D113" s="378" t="s">
        <v>421</v>
      </c>
      <c r="E113" s="380">
        <v>1</v>
      </c>
      <c r="F113" s="381">
        <v>172.792923</v>
      </c>
      <c r="G113" s="381">
        <v>172.792923</v>
      </c>
      <c r="H113" s="384">
        <f t="shared" si="5"/>
        <v>5.1328948781177806E-4</v>
      </c>
      <c r="I113" s="385">
        <f t="shared" si="4"/>
        <v>0.99019778515401347</v>
      </c>
      <c r="J113" s="386" t="s">
        <v>627</v>
      </c>
    </row>
    <row r="114" spans="1:10" x14ac:dyDescent="0.25">
      <c r="A114" s="383">
        <v>11304</v>
      </c>
      <c r="B114" s="378" t="s">
        <v>153</v>
      </c>
      <c r="C114" s="379" t="s">
        <v>444</v>
      </c>
      <c r="D114" s="378" t="s">
        <v>164</v>
      </c>
      <c r="E114" s="380">
        <v>39</v>
      </c>
      <c r="F114" s="381">
        <v>4.4089200000000002</v>
      </c>
      <c r="G114" s="381">
        <v>171.94788</v>
      </c>
      <c r="H114" s="384">
        <f t="shared" si="5"/>
        <v>5.1077924791816315E-4</v>
      </c>
      <c r="I114" s="385">
        <f t="shared" si="4"/>
        <v>0.99070856440193167</v>
      </c>
      <c r="J114" s="386" t="s">
        <v>627</v>
      </c>
    </row>
    <row r="115" spans="1:10" x14ac:dyDescent="0.25">
      <c r="A115" s="383" t="s">
        <v>598</v>
      </c>
      <c r="B115" s="378" t="s">
        <v>176</v>
      </c>
      <c r="C115" s="379" t="s">
        <v>599</v>
      </c>
      <c r="D115" s="378" t="s">
        <v>164</v>
      </c>
      <c r="E115" s="380">
        <v>1</v>
      </c>
      <c r="F115" s="381">
        <v>154.691857</v>
      </c>
      <c r="G115" s="381">
        <v>154.691857</v>
      </c>
      <c r="H115" s="384">
        <f t="shared" si="5"/>
        <v>4.5951942168478049E-4</v>
      </c>
      <c r="I115" s="385">
        <f t="shared" si="4"/>
        <v>0.99116808382361643</v>
      </c>
      <c r="J115" s="386" t="s">
        <v>627</v>
      </c>
    </row>
    <row r="116" spans="1:10" ht="30" x14ac:dyDescent="0.25">
      <c r="A116" s="383" t="s">
        <v>18</v>
      </c>
      <c r="B116" s="378" t="s">
        <v>8</v>
      </c>
      <c r="C116" s="379" t="s">
        <v>343</v>
      </c>
      <c r="D116" s="378" t="s">
        <v>114</v>
      </c>
      <c r="E116" s="380">
        <v>2.2483000000000004</v>
      </c>
      <c r="F116" s="381">
        <v>67.382993999999997</v>
      </c>
      <c r="G116" s="381">
        <v>151.49718541020002</v>
      </c>
      <c r="H116" s="384">
        <f t="shared" si="5"/>
        <v>4.5002949978528657E-4</v>
      </c>
      <c r="I116" s="385">
        <f t="shared" si="4"/>
        <v>0.99161811332340166</v>
      </c>
      <c r="J116" s="386" t="s">
        <v>627</v>
      </c>
    </row>
    <row r="117" spans="1:10" ht="30" x14ac:dyDescent="0.25">
      <c r="A117" s="383">
        <v>91953</v>
      </c>
      <c r="B117" s="378" t="s">
        <v>19</v>
      </c>
      <c r="C117" s="379" t="s">
        <v>295</v>
      </c>
      <c r="D117" s="378" t="s">
        <v>164</v>
      </c>
      <c r="E117" s="380">
        <v>4</v>
      </c>
      <c r="F117" s="381">
        <v>36.25112</v>
      </c>
      <c r="G117" s="381">
        <v>145.00448</v>
      </c>
      <c r="H117" s="384">
        <f t="shared" si="5"/>
        <v>4.3074261362899225E-4</v>
      </c>
      <c r="I117" s="385">
        <f t="shared" si="4"/>
        <v>0.99204885593703063</v>
      </c>
      <c r="J117" s="386" t="s">
        <v>627</v>
      </c>
    </row>
    <row r="118" spans="1:10" ht="30" x14ac:dyDescent="0.25">
      <c r="A118" s="383" t="s">
        <v>455</v>
      </c>
      <c r="B118" s="378" t="s">
        <v>8</v>
      </c>
      <c r="C118" s="379" t="s">
        <v>456</v>
      </c>
      <c r="D118" s="378" t="s">
        <v>164</v>
      </c>
      <c r="E118" s="380">
        <v>4</v>
      </c>
      <c r="F118" s="381">
        <v>34.928443999999999</v>
      </c>
      <c r="G118" s="381">
        <v>139.713776</v>
      </c>
      <c r="H118" s="384">
        <f t="shared" si="5"/>
        <v>4.1502632907766413E-4</v>
      </c>
      <c r="I118" s="385">
        <f t="shared" si="4"/>
        <v>0.99246388226610827</v>
      </c>
      <c r="J118" s="386" t="s">
        <v>627</v>
      </c>
    </row>
    <row r="119" spans="1:10" x14ac:dyDescent="0.25">
      <c r="A119" s="383">
        <v>90456</v>
      </c>
      <c r="B119" s="378" t="s">
        <v>19</v>
      </c>
      <c r="C119" s="379" t="s">
        <v>432</v>
      </c>
      <c r="D119" s="378" t="s">
        <v>164</v>
      </c>
      <c r="E119" s="380">
        <v>26</v>
      </c>
      <c r="F119" s="381">
        <v>5.3029509999999993</v>
      </c>
      <c r="G119" s="381">
        <v>137.87672599999999</v>
      </c>
      <c r="H119" s="384">
        <f t="shared" si="5"/>
        <v>4.0956928583067519E-4</v>
      </c>
      <c r="I119" s="385">
        <f t="shared" si="4"/>
        <v>0.99287345155193896</v>
      </c>
      <c r="J119" s="386" t="s">
        <v>627</v>
      </c>
    </row>
    <row r="120" spans="1:10" x14ac:dyDescent="0.25">
      <c r="A120" s="383" t="s">
        <v>180</v>
      </c>
      <c r="B120" s="378" t="s">
        <v>176</v>
      </c>
      <c r="C120" s="379" t="s">
        <v>597</v>
      </c>
      <c r="D120" s="378" t="s">
        <v>164</v>
      </c>
      <c r="E120" s="380">
        <v>1</v>
      </c>
      <c r="F120" s="381">
        <v>137.2582525</v>
      </c>
      <c r="G120" s="381">
        <v>137.2582525</v>
      </c>
      <c r="H120" s="384">
        <f t="shared" si="5"/>
        <v>4.0773208127085561E-4</v>
      </c>
      <c r="I120" s="385">
        <f t="shared" si="4"/>
        <v>0.99328118363320983</v>
      </c>
      <c r="J120" s="386" t="s">
        <v>627</v>
      </c>
    </row>
    <row r="121" spans="1:10" ht="30" x14ac:dyDescent="0.25">
      <c r="A121" s="383" t="s">
        <v>322</v>
      </c>
      <c r="B121" s="378" t="s">
        <v>8</v>
      </c>
      <c r="C121" s="379" t="s">
        <v>320</v>
      </c>
      <c r="D121" s="378" t="s">
        <v>114</v>
      </c>
      <c r="E121" s="380">
        <v>114.73</v>
      </c>
      <c r="F121" s="381">
        <v>1.0409949999999999</v>
      </c>
      <c r="G121" s="381">
        <v>119.43335635</v>
      </c>
      <c r="H121" s="384">
        <f t="shared" si="5"/>
        <v>3.5478239064532213E-4</v>
      </c>
      <c r="I121" s="385">
        <f t="shared" si="4"/>
        <v>0.99363596602385518</v>
      </c>
      <c r="J121" s="386" t="s">
        <v>627</v>
      </c>
    </row>
    <row r="122" spans="1:10" x14ac:dyDescent="0.25">
      <c r="A122" s="383" t="s">
        <v>322</v>
      </c>
      <c r="B122" s="378" t="s">
        <v>8</v>
      </c>
      <c r="C122" s="379" t="s">
        <v>237</v>
      </c>
      <c r="D122" s="378" t="s">
        <v>114</v>
      </c>
      <c r="E122" s="380">
        <v>114.73</v>
      </c>
      <c r="F122" s="381">
        <v>1.0409949999999999</v>
      </c>
      <c r="G122" s="381">
        <v>119.43335635</v>
      </c>
      <c r="H122" s="384">
        <f t="shared" si="5"/>
        <v>3.5478239064532213E-4</v>
      </c>
      <c r="I122" s="385">
        <f t="shared" si="4"/>
        <v>0.99399074841450052</v>
      </c>
      <c r="J122" s="386" t="s">
        <v>627</v>
      </c>
    </row>
    <row r="123" spans="1:10" ht="30" x14ac:dyDescent="0.25">
      <c r="A123" s="383" t="s">
        <v>322</v>
      </c>
      <c r="B123" s="378" t="s">
        <v>8</v>
      </c>
      <c r="C123" s="379" t="s">
        <v>239</v>
      </c>
      <c r="D123" s="378" t="s">
        <v>114</v>
      </c>
      <c r="E123" s="380">
        <v>114.73</v>
      </c>
      <c r="F123" s="381">
        <v>1.0409949999999999</v>
      </c>
      <c r="G123" s="381">
        <v>119.43335635</v>
      </c>
      <c r="H123" s="384">
        <f t="shared" si="5"/>
        <v>3.5478239064532213E-4</v>
      </c>
      <c r="I123" s="385">
        <f t="shared" si="4"/>
        <v>0.99434553080514587</v>
      </c>
      <c r="J123" s="386" t="s">
        <v>627</v>
      </c>
    </row>
    <row r="124" spans="1:10" x14ac:dyDescent="0.25">
      <c r="A124" s="383">
        <v>3252</v>
      </c>
      <c r="B124" s="378" t="s">
        <v>153</v>
      </c>
      <c r="C124" s="379" t="s">
        <v>407</v>
      </c>
      <c r="D124" s="378" t="s">
        <v>164</v>
      </c>
      <c r="E124" s="380">
        <v>100</v>
      </c>
      <c r="F124" s="381">
        <v>1.1879589999999998</v>
      </c>
      <c r="G124" s="381">
        <v>118.79589999999997</v>
      </c>
      <c r="H124" s="384">
        <f t="shared" si="5"/>
        <v>3.5288879663861688E-4</v>
      </c>
      <c r="I124" s="385">
        <f t="shared" si="4"/>
        <v>0.99469841960178451</v>
      </c>
      <c r="J124" s="386" t="s">
        <v>627</v>
      </c>
    </row>
    <row r="125" spans="1:10" ht="30" x14ac:dyDescent="0.25">
      <c r="A125" s="383" t="s">
        <v>10</v>
      </c>
      <c r="B125" s="378" t="s">
        <v>319</v>
      </c>
      <c r="C125" s="379" t="s">
        <v>321</v>
      </c>
      <c r="D125" s="378" t="s">
        <v>468</v>
      </c>
      <c r="E125" s="380">
        <v>1</v>
      </c>
      <c r="F125" s="381">
        <v>118.33051399999999</v>
      </c>
      <c r="G125" s="381">
        <v>118.33051399999999</v>
      </c>
      <c r="H125" s="384">
        <f t="shared" si="5"/>
        <v>3.515063456827131E-4</v>
      </c>
      <c r="I125" s="385">
        <f t="shared" si="4"/>
        <v>0.99504992594746722</v>
      </c>
      <c r="J125" s="386" t="s">
        <v>627</v>
      </c>
    </row>
    <row r="126" spans="1:10" ht="30" x14ac:dyDescent="0.25">
      <c r="A126" s="383" t="s">
        <v>10</v>
      </c>
      <c r="B126" s="378" t="s">
        <v>319</v>
      </c>
      <c r="C126" s="379" t="s">
        <v>238</v>
      </c>
      <c r="D126" s="378" t="s">
        <v>468</v>
      </c>
      <c r="E126" s="380">
        <v>1</v>
      </c>
      <c r="F126" s="381">
        <v>118.33051399999999</v>
      </c>
      <c r="G126" s="381">
        <v>118.33051399999999</v>
      </c>
      <c r="H126" s="384">
        <f t="shared" si="5"/>
        <v>3.515063456827131E-4</v>
      </c>
      <c r="I126" s="385">
        <f t="shared" si="4"/>
        <v>0.99540143229314992</v>
      </c>
      <c r="J126" s="386" t="s">
        <v>627</v>
      </c>
    </row>
    <row r="127" spans="1:10" ht="30" x14ac:dyDescent="0.25">
      <c r="A127" s="383" t="s">
        <v>10</v>
      </c>
      <c r="B127" s="378" t="s">
        <v>319</v>
      </c>
      <c r="C127" s="379" t="s">
        <v>240</v>
      </c>
      <c r="D127" s="378" t="s">
        <v>468</v>
      </c>
      <c r="E127" s="380">
        <v>1</v>
      </c>
      <c r="F127" s="381">
        <v>118.33051399999999</v>
      </c>
      <c r="G127" s="381">
        <v>118.33051399999999</v>
      </c>
      <c r="H127" s="384">
        <f t="shared" si="5"/>
        <v>3.515063456827131E-4</v>
      </c>
      <c r="I127" s="385">
        <f t="shared" si="4"/>
        <v>0.99575293863883263</v>
      </c>
      <c r="J127" s="386" t="s">
        <v>627</v>
      </c>
    </row>
    <row r="128" spans="1:10" ht="30" x14ac:dyDescent="0.25">
      <c r="A128" s="383" t="s">
        <v>720</v>
      </c>
      <c r="B128" s="379" t="s">
        <v>8</v>
      </c>
      <c r="C128" s="382" t="s">
        <v>719</v>
      </c>
      <c r="D128" s="378" t="s">
        <v>164</v>
      </c>
      <c r="E128" s="380">
        <v>3</v>
      </c>
      <c r="F128" s="381">
        <v>36.765493999999997</v>
      </c>
      <c r="G128" s="381">
        <v>110.296482</v>
      </c>
      <c r="H128" s="384">
        <f t="shared" si="5"/>
        <v>3.2764087654921486E-4</v>
      </c>
      <c r="I128" s="385">
        <f t="shared" si="4"/>
        <v>0.99608057951538187</v>
      </c>
      <c r="J128" s="386" t="s">
        <v>627</v>
      </c>
    </row>
    <row r="129" spans="1:10" ht="30" x14ac:dyDescent="0.25">
      <c r="A129" s="383">
        <v>91959</v>
      </c>
      <c r="B129" s="378" t="s">
        <v>19</v>
      </c>
      <c r="C129" s="379" t="s">
        <v>296</v>
      </c>
      <c r="D129" s="378" t="s">
        <v>164</v>
      </c>
      <c r="E129" s="380">
        <v>2</v>
      </c>
      <c r="F129" s="381">
        <v>54.658360999999999</v>
      </c>
      <c r="G129" s="381">
        <v>109.316722</v>
      </c>
      <c r="H129" s="384">
        <f t="shared" si="5"/>
        <v>3.2473045348415411E-4</v>
      </c>
      <c r="I129" s="385">
        <f t="shared" si="4"/>
        <v>0.996405309968866</v>
      </c>
      <c r="J129" s="386" t="s">
        <v>627</v>
      </c>
    </row>
    <row r="130" spans="1:10" x14ac:dyDescent="0.25">
      <c r="A130" s="383">
        <v>3301</v>
      </c>
      <c r="B130" s="378" t="s">
        <v>153</v>
      </c>
      <c r="C130" s="379" t="s">
        <v>404</v>
      </c>
      <c r="D130" s="378" t="s">
        <v>164</v>
      </c>
      <c r="E130" s="380">
        <v>300</v>
      </c>
      <c r="F130" s="381">
        <v>0.35516299999999995</v>
      </c>
      <c r="G130" s="381">
        <v>106.54889999999999</v>
      </c>
      <c r="H130" s="384">
        <f t="shared" si="5"/>
        <v>3.1650850832535746E-4</v>
      </c>
      <c r="I130" s="385">
        <f t="shared" si="4"/>
        <v>0.99672181847719132</v>
      </c>
      <c r="J130" s="386" t="s">
        <v>627</v>
      </c>
    </row>
    <row r="131" spans="1:10" ht="30" x14ac:dyDescent="0.25">
      <c r="A131" s="383">
        <v>724</v>
      </c>
      <c r="B131" s="378" t="s">
        <v>153</v>
      </c>
      <c r="C131" s="379" t="s">
        <v>425</v>
      </c>
      <c r="D131" s="378" t="s">
        <v>164</v>
      </c>
      <c r="E131" s="380">
        <v>8</v>
      </c>
      <c r="F131" s="381">
        <v>10.789607</v>
      </c>
      <c r="G131" s="381">
        <v>86.316856000000001</v>
      </c>
      <c r="H131" s="384">
        <f t="shared" si="5"/>
        <v>2.5640827203185284E-4</v>
      </c>
      <c r="I131" s="385">
        <f t="shared" si="4"/>
        <v>0.99697822674922321</v>
      </c>
      <c r="J131" s="386" t="s">
        <v>627</v>
      </c>
    </row>
    <row r="132" spans="1:10" collapsed="1" x14ac:dyDescent="0.25">
      <c r="A132" s="383" t="s">
        <v>790</v>
      </c>
      <c r="B132" s="378" t="s">
        <v>176</v>
      </c>
      <c r="C132" s="379" t="s">
        <v>716</v>
      </c>
      <c r="D132" s="378" t="s">
        <v>164</v>
      </c>
      <c r="E132" s="380">
        <v>4</v>
      </c>
      <c r="F132" s="381">
        <v>20.119371600000001</v>
      </c>
      <c r="G132" s="381">
        <v>80.477486400000004</v>
      </c>
      <c r="H132" s="384">
        <f t="shared" si="5"/>
        <v>2.3906215056409072E-4</v>
      </c>
      <c r="I132" s="385">
        <f t="shared" si="4"/>
        <v>0.99721728889978734</v>
      </c>
      <c r="J132" s="386" t="s">
        <v>627</v>
      </c>
    </row>
    <row r="133" spans="1:10" collapsed="1" x14ac:dyDescent="0.25">
      <c r="A133" s="383">
        <v>90456</v>
      </c>
      <c r="B133" s="378" t="s">
        <v>19</v>
      </c>
      <c r="C133" s="379" t="s">
        <v>432</v>
      </c>
      <c r="D133" s="378" t="s">
        <v>164</v>
      </c>
      <c r="E133" s="380">
        <v>18</v>
      </c>
      <c r="F133" s="381">
        <v>4.33</v>
      </c>
      <c r="G133" s="381">
        <v>77.94</v>
      </c>
      <c r="H133" s="384">
        <f t="shared" si="5"/>
        <v>2.3152442811590136E-4</v>
      </c>
      <c r="I133" s="385">
        <f t="shared" si="4"/>
        <v>0.99744881332790325</v>
      </c>
      <c r="J133" s="386" t="s">
        <v>627</v>
      </c>
    </row>
    <row r="134" spans="1:10" collapsed="1" x14ac:dyDescent="0.25">
      <c r="A134" s="383" t="s">
        <v>406</v>
      </c>
      <c r="B134" s="378" t="s">
        <v>8</v>
      </c>
      <c r="C134" s="379" t="s">
        <v>405</v>
      </c>
      <c r="D134" s="378" t="s">
        <v>164</v>
      </c>
      <c r="E134" s="380">
        <v>1</v>
      </c>
      <c r="F134" s="381">
        <v>71.583714999999998</v>
      </c>
      <c r="G134" s="381">
        <v>71.583714999999998</v>
      </c>
      <c r="H134" s="384">
        <f t="shared" si="5"/>
        <v>2.1264278519100166E-4</v>
      </c>
      <c r="I134" s="385">
        <f t="shared" si="4"/>
        <v>0.9976614561130942</v>
      </c>
      <c r="J134" s="386" t="s">
        <v>627</v>
      </c>
    </row>
    <row r="135" spans="1:10" ht="36.75" customHeight="1" collapsed="1" x14ac:dyDescent="0.25">
      <c r="A135" s="383">
        <v>89714</v>
      </c>
      <c r="B135" s="378" t="s">
        <v>19</v>
      </c>
      <c r="C135" s="382" t="s">
        <v>572</v>
      </c>
      <c r="D135" s="378" t="s">
        <v>156</v>
      </c>
      <c r="E135" s="380">
        <v>1.5</v>
      </c>
      <c r="F135" s="381">
        <v>46.599834999999992</v>
      </c>
      <c r="G135" s="381">
        <v>69.899752499999991</v>
      </c>
      <c r="H135" s="384">
        <f t="shared" ref="H135:H166" si="6">G135/$G$162</f>
        <v>2.0764049554792847E-4</v>
      </c>
      <c r="I135" s="385">
        <f t="shared" si="4"/>
        <v>0.99786909660864209</v>
      </c>
      <c r="J135" s="386" t="s">
        <v>627</v>
      </c>
    </row>
    <row r="136" spans="1:10" x14ac:dyDescent="0.25">
      <c r="A136" s="383">
        <v>11304</v>
      </c>
      <c r="B136" s="378" t="s">
        <v>153</v>
      </c>
      <c r="C136" s="379" t="s">
        <v>444</v>
      </c>
      <c r="D136" s="378" t="s">
        <v>164</v>
      </c>
      <c r="E136" s="380">
        <v>15</v>
      </c>
      <c r="F136" s="381">
        <v>4.4089200000000002</v>
      </c>
      <c r="G136" s="381">
        <v>66.133800000000008</v>
      </c>
      <c r="H136" s="384">
        <f t="shared" si="6"/>
        <v>1.9645355689160122E-4</v>
      </c>
      <c r="I136" s="385">
        <f t="shared" si="4"/>
        <v>0.99806555016553367</v>
      </c>
      <c r="J136" s="386" t="s">
        <v>627</v>
      </c>
    </row>
    <row r="137" spans="1:10" ht="32.25" customHeight="1" x14ac:dyDescent="0.25">
      <c r="A137" s="383" t="s">
        <v>435</v>
      </c>
      <c r="B137" s="378" t="s">
        <v>434</v>
      </c>
      <c r="C137" s="379" t="s">
        <v>433</v>
      </c>
      <c r="D137" s="378" t="s">
        <v>164</v>
      </c>
      <c r="E137" s="380">
        <v>2</v>
      </c>
      <c r="F137" s="381">
        <v>28.334879645999997</v>
      </c>
      <c r="G137" s="381">
        <v>56.669759291999995</v>
      </c>
      <c r="H137" s="384">
        <f t="shared" si="6"/>
        <v>1.6834017977349354E-4</v>
      </c>
      <c r="I137" s="385">
        <f t="shared" ref="I137:I160" si="7">I136+H137</f>
        <v>0.99823389034530718</v>
      </c>
      <c r="J137" s="386" t="s">
        <v>627</v>
      </c>
    </row>
    <row r="138" spans="1:10" ht="45" customHeight="1" x14ac:dyDescent="0.25">
      <c r="A138" s="383">
        <v>724</v>
      </c>
      <c r="B138" s="378" t="s">
        <v>153</v>
      </c>
      <c r="C138" s="379" t="s">
        <v>425</v>
      </c>
      <c r="D138" s="378" t="s">
        <v>164</v>
      </c>
      <c r="E138" s="380">
        <v>5</v>
      </c>
      <c r="F138" s="381">
        <v>10.789607</v>
      </c>
      <c r="G138" s="381">
        <v>53.948035000000004</v>
      </c>
      <c r="H138" s="384">
        <f t="shared" si="6"/>
        <v>1.6025517001990803E-4</v>
      </c>
      <c r="I138" s="385">
        <f t="shared" si="7"/>
        <v>0.99839414551532712</v>
      </c>
      <c r="J138" s="386" t="s">
        <v>627</v>
      </c>
    </row>
    <row r="139" spans="1:10" x14ac:dyDescent="0.25">
      <c r="A139" s="383">
        <v>98685</v>
      </c>
      <c r="B139" s="378" t="s">
        <v>19</v>
      </c>
      <c r="C139" s="379" t="s">
        <v>346</v>
      </c>
      <c r="D139" s="378" t="s">
        <v>156</v>
      </c>
      <c r="E139" s="380">
        <v>0.68</v>
      </c>
      <c r="F139" s="381">
        <v>75.870165</v>
      </c>
      <c r="G139" s="381">
        <v>51.591712200000003</v>
      </c>
      <c r="H139" s="384">
        <f t="shared" si="6"/>
        <v>1.5325560254843691E-4</v>
      </c>
      <c r="I139" s="385">
        <f t="shared" si="7"/>
        <v>0.99854740111787554</v>
      </c>
      <c r="J139" s="386" t="s">
        <v>627</v>
      </c>
    </row>
    <row r="140" spans="1:10" ht="30" x14ac:dyDescent="0.25">
      <c r="A140" s="383" t="s">
        <v>708</v>
      </c>
      <c r="B140" s="378" t="s">
        <v>8</v>
      </c>
      <c r="C140" s="379" t="s">
        <v>707</v>
      </c>
      <c r="D140" s="378" t="s">
        <v>164</v>
      </c>
      <c r="E140" s="380">
        <v>1</v>
      </c>
      <c r="F140" s="381">
        <v>48.43688499999999</v>
      </c>
      <c r="G140" s="381">
        <v>48.43688499999999</v>
      </c>
      <c r="H140" s="384">
        <f t="shared" si="6"/>
        <v>1.4388404027894123E-4</v>
      </c>
      <c r="I140" s="385">
        <f t="shared" si="7"/>
        <v>0.99869128515815453</v>
      </c>
      <c r="J140" s="386" t="s">
        <v>627</v>
      </c>
    </row>
    <row r="141" spans="1:10" ht="30" x14ac:dyDescent="0.25">
      <c r="A141" s="383">
        <v>723</v>
      </c>
      <c r="B141" s="378" t="s">
        <v>153</v>
      </c>
      <c r="C141" s="379" t="s">
        <v>426</v>
      </c>
      <c r="D141" s="378" t="s">
        <v>164</v>
      </c>
      <c r="E141" s="380">
        <v>6</v>
      </c>
      <c r="F141" s="381">
        <v>7.6666219999999994</v>
      </c>
      <c r="G141" s="381">
        <v>45.999731999999995</v>
      </c>
      <c r="H141" s="384">
        <f t="shared" si="6"/>
        <v>1.3664436290460258E-4</v>
      </c>
      <c r="I141" s="385">
        <f t="shared" si="7"/>
        <v>0.99882792952105914</v>
      </c>
      <c r="J141" s="386" t="s">
        <v>627</v>
      </c>
    </row>
    <row r="142" spans="1:10" ht="45" x14ac:dyDescent="0.25">
      <c r="A142" s="383" t="s">
        <v>340</v>
      </c>
      <c r="B142" s="378" t="s">
        <v>8</v>
      </c>
      <c r="C142" s="379" t="s">
        <v>339</v>
      </c>
      <c r="D142" s="378" t="s">
        <v>156</v>
      </c>
      <c r="E142" s="380">
        <v>4.5</v>
      </c>
      <c r="F142" s="381">
        <v>9.8588350000000009</v>
      </c>
      <c r="G142" s="381">
        <v>44.364757500000003</v>
      </c>
      <c r="H142" s="384">
        <f t="shared" si="6"/>
        <v>1.3178759441478247E-4</v>
      </c>
      <c r="I142" s="385">
        <f t="shared" si="7"/>
        <v>0.99895971711547393</v>
      </c>
      <c r="J142" s="386" t="s">
        <v>627</v>
      </c>
    </row>
    <row r="143" spans="1:10" x14ac:dyDescent="0.25">
      <c r="A143" s="419" t="s">
        <v>262</v>
      </c>
      <c r="B143" s="378" t="s">
        <v>176</v>
      </c>
      <c r="C143" s="379" t="s">
        <v>699</v>
      </c>
      <c r="D143" s="378" t="s">
        <v>421</v>
      </c>
      <c r="E143" s="380">
        <v>1</v>
      </c>
      <c r="F143" s="381">
        <v>42.852252999999997</v>
      </c>
      <c r="G143" s="381">
        <v>42.852252999999997</v>
      </c>
      <c r="H143" s="384">
        <f t="shared" si="6"/>
        <v>1.2729462880809491E-4</v>
      </c>
      <c r="I143" s="385">
        <f t="shared" si="7"/>
        <v>0.99908701174428205</v>
      </c>
      <c r="J143" s="386" t="s">
        <v>627</v>
      </c>
    </row>
    <row r="144" spans="1:10" ht="58.5" customHeight="1" x14ac:dyDescent="0.25">
      <c r="A144" s="383" t="s">
        <v>582</v>
      </c>
      <c r="B144" s="379" t="s">
        <v>578</v>
      </c>
      <c r="C144" s="382" t="s">
        <v>565</v>
      </c>
      <c r="D144" s="378" t="s">
        <v>164</v>
      </c>
      <c r="E144" s="380">
        <v>1</v>
      </c>
      <c r="F144" s="381">
        <v>42.391765799999995</v>
      </c>
      <c r="G144" s="381">
        <v>42.391765799999995</v>
      </c>
      <c r="H144" s="384">
        <f t="shared" si="6"/>
        <v>1.2592672996751636E-4</v>
      </c>
      <c r="I144" s="385">
        <f t="shared" si="7"/>
        <v>0.99921293847424952</v>
      </c>
      <c r="J144" s="386" t="s">
        <v>627</v>
      </c>
    </row>
    <row r="145" spans="1:10" x14ac:dyDescent="0.25">
      <c r="A145" s="383">
        <v>12494</v>
      </c>
      <c r="B145" s="378" t="s">
        <v>153</v>
      </c>
      <c r="C145" s="379" t="s">
        <v>428</v>
      </c>
      <c r="D145" s="378" t="s">
        <v>164</v>
      </c>
      <c r="E145" s="380">
        <v>8</v>
      </c>
      <c r="F145" s="381">
        <v>5.0212699999999995</v>
      </c>
      <c r="G145" s="381">
        <v>40.170159999999996</v>
      </c>
      <c r="H145" s="384">
        <f t="shared" si="6"/>
        <v>1.1932734566749108E-4</v>
      </c>
      <c r="I145" s="385">
        <f t="shared" si="7"/>
        <v>0.99933226581991697</v>
      </c>
      <c r="J145" s="386" t="s">
        <v>627</v>
      </c>
    </row>
    <row r="146" spans="1:10" x14ac:dyDescent="0.25">
      <c r="A146" s="419" t="s">
        <v>551</v>
      </c>
      <c r="B146" s="378" t="s">
        <v>176</v>
      </c>
      <c r="C146" s="379" t="s">
        <v>438</v>
      </c>
      <c r="D146" s="378" t="s">
        <v>164</v>
      </c>
      <c r="E146" s="380">
        <v>3</v>
      </c>
      <c r="F146" s="381">
        <v>12.908337999999999</v>
      </c>
      <c r="G146" s="381">
        <v>38.725013999999994</v>
      </c>
      <c r="H146" s="384">
        <f t="shared" si="6"/>
        <v>1.1503447164652646E-4</v>
      </c>
      <c r="I146" s="385">
        <f t="shared" si="7"/>
        <v>0.99944730029156348</v>
      </c>
      <c r="J146" s="386" t="s">
        <v>627</v>
      </c>
    </row>
    <row r="147" spans="1:10" x14ac:dyDescent="0.25">
      <c r="A147" s="383">
        <v>4015</v>
      </c>
      <c r="B147" s="378" t="s">
        <v>153</v>
      </c>
      <c r="C147" s="379" t="s">
        <v>403</v>
      </c>
      <c r="D147" s="378" t="s">
        <v>164</v>
      </c>
      <c r="E147" s="380">
        <v>2</v>
      </c>
      <c r="F147" s="381">
        <v>15.431219999999998</v>
      </c>
      <c r="G147" s="381">
        <v>30.862439999999996</v>
      </c>
      <c r="H147" s="384">
        <f t="shared" si="6"/>
        <v>9.1678326549413878E-5</v>
      </c>
      <c r="I147" s="385">
        <f t="shared" si="7"/>
        <v>0.99953897861811292</v>
      </c>
      <c r="J147" s="386" t="s">
        <v>627</v>
      </c>
    </row>
    <row r="148" spans="1:10" ht="45" x14ac:dyDescent="0.25">
      <c r="A148" s="383" t="s">
        <v>330</v>
      </c>
      <c r="B148" s="378" t="s">
        <v>8</v>
      </c>
      <c r="C148" s="379" t="s">
        <v>329</v>
      </c>
      <c r="D148" s="380" t="s">
        <v>114</v>
      </c>
      <c r="E148" s="380">
        <v>1.6800000000000002</v>
      </c>
      <c r="F148" s="381">
        <v>16.166039999999999</v>
      </c>
      <c r="G148" s="381">
        <v>27.1589472</v>
      </c>
      <c r="H148" s="384">
        <f t="shared" si="6"/>
        <v>8.067692736348422E-5</v>
      </c>
      <c r="I148" s="385">
        <f t="shared" si="7"/>
        <v>0.99961965554547638</v>
      </c>
      <c r="J148" s="386" t="s">
        <v>627</v>
      </c>
    </row>
    <row r="149" spans="1:10" x14ac:dyDescent="0.25">
      <c r="A149" s="383">
        <v>12494</v>
      </c>
      <c r="B149" s="378" t="s">
        <v>153</v>
      </c>
      <c r="C149" s="379" t="s">
        <v>428</v>
      </c>
      <c r="D149" s="378" t="s">
        <v>164</v>
      </c>
      <c r="E149" s="380">
        <v>5</v>
      </c>
      <c r="F149" s="381">
        <v>5.0212699999999995</v>
      </c>
      <c r="G149" s="381">
        <v>25.106349999999999</v>
      </c>
      <c r="H149" s="384">
        <f t="shared" si="6"/>
        <v>7.4579591042181931E-5</v>
      </c>
      <c r="I149" s="385">
        <f t="shared" si="7"/>
        <v>0.99969423513651856</v>
      </c>
      <c r="J149" s="386" t="s">
        <v>627</v>
      </c>
    </row>
    <row r="150" spans="1:10" x14ac:dyDescent="0.25">
      <c r="A150" s="383">
        <v>12494</v>
      </c>
      <c r="B150" s="378" t="s">
        <v>153</v>
      </c>
      <c r="C150" s="379" t="s">
        <v>428</v>
      </c>
      <c r="D150" s="378" t="s">
        <v>164</v>
      </c>
      <c r="E150" s="380">
        <v>5</v>
      </c>
      <c r="F150" s="381">
        <v>5.0212699999999995</v>
      </c>
      <c r="G150" s="381">
        <v>25.106349999999999</v>
      </c>
      <c r="H150" s="384">
        <f t="shared" si="6"/>
        <v>7.4579591042181931E-5</v>
      </c>
      <c r="I150" s="385">
        <f t="shared" si="7"/>
        <v>0.99976881472756074</v>
      </c>
      <c r="J150" s="386" t="s">
        <v>627</v>
      </c>
    </row>
    <row r="151" spans="1:10" x14ac:dyDescent="0.25">
      <c r="A151" s="383">
        <v>98689</v>
      </c>
      <c r="B151" s="378" t="s">
        <v>19</v>
      </c>
      <c r="C151" s="379" t="s">
        <v>278</v>
      </c>
      <c r="D151" s="378" t="s">
        <v>114</v>
      </c>
      <c r="E151" s="380">
        <v>0.13500000000000001</v>
      </c>
      <c r="F151" s="381">
        <v>109.37795699999999</v>
      </c>
      <c r="G151" s="381">
        <v>14.766024195</v>
      </c>
      <c r="H151" s="384">
        <f t="shared" si="6"/>
        <v>4.3863167914972261E-5</v>
      </c>
      <c r="I151" s="385">
        <f t="shared" si="7"/>
        <v>0.99981267789547568</v>
      </c>
      <c r="J151" s="386" t="s">
        <v>627</v>
      </c>
    </row>
    <row r="152" spans="1:10" x14ac:dyDescent="0.25">
      <c r="A152" s="383">
        <v>3252</v>
      </c>
      <c r="B152" s="378" t="s">
        <v>153</v>
      </c>
      <c r="C152" s="379" t="s">
        <v>407</v>
      </c>
      <c r="D152" s="378" t="s">
        <v>164</v>
      </c>
      <c r="E152" s="380">
        <v>10</v>
      </c>
      <c r="F152" s="381">
        <v>1.1879589999999998</v>
      </c>
      <c r="G152" s="381">
        <v>11.879589999999997</v>
      </c>
      <c r="H152" s="384">
        <f t="shared" si="6"/>
        <v>3.5288879663861689E-5</v>
      </c>
      <c r="I152" s="385">
        <f t="shared" si="7"/>
        <v>0.99984796677513954</v>
      </c>
      <c r="J152" s="386" t="s">
        <v>627</v>
      </c>
    </row>
    <row r="153" spans="1:10" x14ac:dyDescent="0.25">
      <c r="A153" s="383">
        <v>9832</v>
      </c>
      <c r="B153" s="378" t="s">
        <v>153</v>
      </c>
      <c r="C153" s="379" t="s">
        <v>429</v>
      </c>
      <c r="D153" s="378" t="s">
        <v>164</v>
      </c>
      <c r="E153" s="380">
        <v>8</v>
      </c>
      <c r="F153" s="381">
        <v>1.322676</v>
      </c>
      <c r="G153" s="381">
        <v>10.581408</v>
      </c>
      <c r="H153" s="384">
        <f t="shared" si="6"/>
        <v>3.1432569102656188E-5</v>
      </c>
      <c r="I153" s="385">
        <f t="shared" si="7"/>
        <v>0.99987939934424219</v>
      </c>
      <c r="J153" s="386" t="s">
        <v>627</v>
      </c>
    </row>
    <row r="154" spans="1:10" x14ac:dyDescent="0.25">
      <c r="A154" s="383">
        <v>9816</v>
      </c>
      <c r="B154" s="378" t="s">
        <v>153</v>
      </c>
      <c r="C154" s="379" t="s">
        <v>427</v>
      </c>
      <c r="D154" s="378" t="s">
        <v>164</v>
      </c>
      <c r="E154" s="380">
        <v>16</v>
      </c>
      <c r="F154" s="381">
        <v>0.53886800000000001</v>
      </c>
      <c r="G154" s="381">
        <v>8.6218880000000002</v>
      </c>
      <c r="H154" s="384">
        <f t="shared" si="6"/>
        <v>2.5611722972534676E-5</v>
      </c>
      <c r="I154" s="385">
        <f t="shared" si="7"/>
        <v>0.99990501106721474</v>
      </c>
      <c r="J154" s="386" t="s">
        <v>627</v>
      </c>
    </row>
    <row r="155" spans="1:10" s="273" customFormat="1" x14ac:dyDescent="0.25">
      <c r="A155" s="419" t="s">
        <v>258</v>
      </c>
      <c r="B155" s="378" t="s">
        <v>176</v>
      </c>
      <c r="C155" s="379" t="s">
        <v>690</v>
      </c>
      <c r="D155" s="378" t="s">
        <v>421</v>
      </c>
      <c r="E155" s="380">
        <v>1</v>
      </c>
      <c r="F155" s="381">
        <v>6.9807899999999998</v>
      </c>
      <c r="G155" s="381">
        <v>6.9807899999999998</v>
      </c>
      <c r="H155" s="384">
        <f t="shared" si="6"/>
        <v>2.0736764338557903E-5</v>
      </c>
      <c r="I155" s="385">
        <f t="shared" si="7"/>
        <v>0.9999257478315533</v>
      </c>
      <c r="J155" s="386" t="s">
        <v>627</v>
      </c>
    </row>
    <row r="156" spans="1:10" x14ac:dyDescent="0.25">
      <c r="A156" s="383">
        <v>9832</v>
      </c>
      <c r="B156" s="378" t="s">
        <v>153</v>
      </c>
      <c r="C156" s="379" t="s">
        <v>429</v>
      </c>
      <c r="D156" s="378" t="s">
        <v>164</v>
      </c>
      <c r="E156" s="380">
        <v>5</v>
      </c>
      <c r="F156" s="381">
        <v>1.322676</v>
      </c>
      <c r="G156" s="381">
        <v>6.6133799999999994</v>
      </c>
      <c r="H156" s="384">
        <f t="shared" si="6"/>
        <v>1.9645355689160118E-5</v>
      </c>
      <c r="I156" s="385">
        <f t="shared" si="7"/>
        <v>0.99994539318724251</v>
      </c>
      <c r="J156" s="386" t="s">
        <v>627</v>
      </c>
    </row>
    <row r="157" spans="1:10" x14ac:dyDescent="0.25">
      <c r="A157" s="383">
        <v>9832</v>
      </c>
      <c r="B157" s="378" t="s">
        <v>153</v>
      </c>
      <c r="C157" s="379" t="s">
        <v>429</v>
      </c>
      <c r="D157" s="378" t="s">
        <v>164</v>
      </c>
      <c r="E157" s="380">
        <v>5</v>
      </c>
      <c r="F157" s="381">
        <v>1.322676</v>
      </c>
      <c r="G157" s="381">
        <v>6.6133799999999994</v>
      </c>
      <c r="H157" s="384">
        <f t="shared" si="6"/>
        <v>1.9645355689160118E-5</v>
      </c>
      <c r="I157" s="385">
        <f t="shared" si="7"/>
        <v>0.99996503854293173</v>
      </c>
      <c r="J157" s="386" t="s">
        <v>627</v>
      </c>
    </row>
    <row r="158" spans="1:10" x14ac:dyDescent="0.25">
      <c r="A158" s="383">
        <v>9816</v>
      </c>
      <c r="B158" s="378" t="s">
        <v>153</v>
      </c>
      <c r="C158" s="379" t="s">
        <v>427</v>
      </c>
      <c r="D158" s="378" t="s">
        <v>164</v>
      </c>
      <c r="E158" s="380">
        <v>10</v>
      </c>
      <c r="F158" s="381">
        <v>0.53886800000000001</v>
      </c>
      <c r="G158" s="381">
        <v>5.3886799999999999</v>
      </c>
      <c r="H158" s="384">
        <f t="shared" si="6"/>
        <v>1.6007326857834172E-5</v>
      </c>
      <c r="I158" s="385">
        <f t="shared" si="7"/>
        <v>0.99998104586978953</v>
      </c>
      <c r="J158" s="386" t="s">
        <v>627</v>
      </c>
    </row>
    <row r="159" spans="1:10" x14ac:dyDescent="0.25">
      <c r="A159" s="383">
        <v>9816</v>
      </c>
      <c r="B159" s="378" t="s">
        <v>153</v>
      </c>
      <c r="C159" s="379" t="s">
        <v>427</v>
      </c>
      <c r="D159" s="378" t="s">
        <v>164</v>
      </c>
      <c r="E159" s="380">
        <v>10</v>
      </c>
      <c r="F159" s="381">
        <v>0.53886800000000001</v>
      </c>
      <c r="G159" s="381">
        <v>5.3886799999999999</v>
      </c>
      <c r="H159" s="384">
        <f t="shared" si="6"/>
        <v>1.6007326857834172E-5</v>
      </c>
      <c r="I159" s="385">
        <f t="shared" si="7"/>
        <v>0.99999705319664733</v>
      </c>
      <c r="J159" s="386" t="s">
        <v>627</v>
      </c>
    </row>
    <row r="160" spans="1:10" ht="15.75" thickBot="1" x14ac:dyDescent="0.3">
      <c r="A160" s="420">
        <v>1688</v>
      </c>
      <c r="B160" s="421" t="s">
        <v>153</v>
      </c>
      <c r="C160" s="422" t="s">
        <v>463</v>
      </c>
      <c r="D160" s="421" t="s">
        <v>164</v>
      </c>
      <c r="E160" s="423">
        <v>1</v>
      </c>
      <c r="F160" s="424">
        <v>0.99200699999999997</v>
      </c>
      <c r="G160" s="424">
        <v>0.99200699999999997</v>
      </c>
      <c r="H160" s="425">
        <f t="shared" si="6"/>
        <v>2.9468033533740181E-6</v>
      </c>
      <c r="I160" s="426">
        <f t="shared" si="7"/>
        <v>1.0000000000000007</v>
      </c>
      <c r="J160" s="427" t="s">
        <v>627</v>
      </c>
    </row>
    <row r="161" spans="1:10" ht="15.75" thickBot="1" x14ac:dyDescent="0.3">
      <c r="A161" s="553"/>
      <c r="B161" s="554"/>
      <c r="C161" s="554"/>
      <c r="D161" s="554"/>
      <c r="E161" s="554"/>
      <c r="F161" s="554"/>
      <c r="G161" s="554"/>
      <c r="H161" s="554"/>
      <c r="I161" s="554"/>
      <c r="J161" s="555"/>
    </row>
    <row r="162" spans="1:10" customFormat="1" ht="29.25" customHeight="1" thickBot="1" x14ac:dyDescent="0.3">
      <c r="A162" s="298"/>
      <c r="B162" s="299"/>
      <c r="C162" s="299"/>
      <c r="D162" s="299"/>
      <c r="E162" s="300"/>
      <c r="F162" s="169" t="s">
        <v>276</v>
      </c>
      <c r="G162" s="170">
        <f>SUM(G7:G160)</f>
        <v>336638.34366965009</v>
      </c>
      <c r="H162" s="314">
        <f>SUM(H5:H160)</f>
        <v>1.0000000000000007</v>
      </c>
      <c r="I162" s="551"/>
      <c r="J162" s="552"/>
    </row>
  </sheetData>
  <sortState ref="A7:I160">
    <sortCondition descending="1" ref="H7:H160"/>
  </sortState>
  <mergeCells count="10">
    <mergeCell ref="I162:J162"/>
    <mergeCell ref="A161:J161"/>
    <mergeCell ref="A1:J1"/>
    <mergeCell ref="B2:H2"/>
    <mergeCell ref="I2:J2"/>
    <mergeCell ref="B3:H3"/>
    <mergeCell ref="I3:J3"/>
    <mergeCell ref="B4:H4"/>
    <mergeCell ref="I4:J4"/>
    <mergeCell ref="A5:J5"/>
  </mergeCells>
  <pageMargins left="0.511811024" right="0.511811024" top="0.78740157499999996" bottom="0.78740157499999996" header="0.31496062000000002" footer="0.31496062000000002"/>
  <pageSetup paperSize="9" scale="44" fitToHeight="0" orientation="portrait" r:id="rId1"/>
  <colBreaks count="1" manualBreakCount="1">
    <brk id="7" max="1048575" man="1"/>
  </col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8</vt:i4>
      </vt:variant>
      <vt:variant>
        <vt:lpstr>Intervalos Nomeados</vt:lpstr>
      </vt:variant>
      <vt:variant>
        <vt:i4>7</vt:i4>
      </vt:variant>
    </vt:vector>
  </HeadingPairs>
  <TitlesOfParts>
    <vt:vector size="15" baseType="lpstr">
      <vt:lpstr>Resumo</vt:lpstr>
      <vt:lpstr>Orçamento</vt:lpstr>
      <vt:lpstr>MC</vt:lpstr>
      <vt:lpstr>CPU</vt:lpstr>
      <vt:lpstr>COT.</vt:lpstr>
      <vt:lpstr>BDI</vt:lpstr>
      <vt:lpstr>CRON.</vt:lpstr>
      <vt:lpstr>ABC</vt:lpstr>
      <vt:lpstr>ABC!Area_de_impressao</vt:lpstr>
      <vt:lpstr>BDI!Area_de_impressao</vt:lpstr>
      <vt:lpstr>COT.!Area_de_impressao</vt:lpstr>
      <vt:lpstr>CPU!Area_de_impressao</vt:lpstr>
      <vt:lpstr>CRON.!Area_de_impressao</vt:lpstr>
      <vt:lpstr>Orçamento!Area_de_impressao</vt:lpstr>
      <vt:lpstr>Resumo!Area_de_impressao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Rocca</dc:creator>
  <cp:lastModifiedBy>Thais Fonseca Correa</cp:lastModifiedBy>
  <cp:lastPrinted>2023-10-04T13:39:21Z</cp:lastPrinted>
  <dcterms:created xsi:type="dcterms:W3CDTF">2022-11-03T11:20:22Z</dcterms:created>
  <dcterms:modified xsi:type="dcterms:W3CDTF">2023-12-18T20:28:55Z</dcterms:modified>
</cp:coreProperties>
</file>