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07442\Desktop\"/>
    </mc:Choice>
  </mc:AlternateContent>
  <xr:revisionPtr revIDLastSave="0" documentId="8_{E1C64496-1D31-4CD1-BEF2-1D7DE1C6FBA5}" xr6:coauthVersionLast="47" xr6:coauthVersionMax="47" xr10:uidLastSave="{00000000-0000-0000-0000-000000000000}"/>
  <bookViews>
    <workbookView xWindow="1110" yWindow="2160" windowWidth="27690" windowHeight="14040" xr2:uid="{00000000-000D-0000-FFFF-FFFF00000000}"/>
  </bookViews>
  <sheets>
    <sheet name="CONSOLIDAÇÃO" sheetId="20" r:id="rId1"/>
    <sheet name="RESUMO" sheetId="22" r:id="rId2"/>
    <sheet name="Ass. Dir." sheetId="16" r:id="rId3"/>
    <sheet name="UNIFORME" sheetId="23" r:id="rId4"/>
  </sheets>
  <definedNames>
    <definedName name="Excel_BuiltIn_Print_Area_2">"$#REF!.$A$1:$J$73"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54" i="16" l="1"/>
  <c r="K47" i="16" l="1"/>
  <c r="H6" i="23" l="1"/>
  <c r="H7" i="23"/>
  <c r="H8" i="23"/>
  <c r="H5" i="23"/>
  <c r="K6" i="23" l="1"/>
  <c r="K7" i="23"/>
  <c r="K8" i="23"/>
  <c r="K5" i="23"/>
  <c r="M6" i="23"/>
  <c r="N6" i="23" s="1"/>
  <c r="M7" i="23"/>
  <c r="N7" i="23" s="1"/>
  <c r="M8" i="23"/>
  <c r="N8" i="23" s="1"/>
  <c r="M5" i="23"/>
  <c r="N5" i="23" s="1"/>
  <c r="K69" i="16" l="1"/>
  <c r="E5" i="23" l="1"/>
  <c r="F5" i="23" l="1"/>
  <c r="I5" i="23" s="1"/>
  <c r="E8" i="23"/>
  <c r="F8" i="23" s="1"/>
  <c r="I8" i="23" s="1"/>
  <c r="L8" i="23" s="1"/>
  <c r="O8" i="23" s="1"/>
  <c r="E6" i="23"/>
  <c r="F6" i="23" s="1"/>
  <c r="I6" i="23" s="1"/>
  <c r="L6" i="23" s="1"/>
  <c r="O6" i="23" s="1"/>
  <c r="E7" i="23"/>
  <c r="F7" i="23" s="1"/>
  <c r="I7" i="23" s="1"/>
  <c r="L7" i="23" s="1"/>
  <c r="O7" i="23" s="1"/>
  <c r="I9" i="23" l="1"/>
  <c r="L5" i="23"/>
  <c r="F9" i="23"/>
  <c r="L9" i="23" l="1"/>
  <c r="O5" i="23"/>
  <c r="O9" i="23" s="1"/>
  <c r="K33" i="16"/>
  <c r="K34" i="16" s="1"/>
  <c r="L16" i="16" l="1"/>
  <c r="D4" i="20" l="1"/>
  <c r="J98" i="16" l="1"/>
  <c r="L92" i="16"/>
  <c r="L114" i="16" s="1"/>
  <c r="K40" i="16"/>
  <c r="K84" i="16" s="1"/>
  <c r="L24" i="16"/>
  <c r="L53" i="16" s="1"/>
  <c r="K63" i="16" l="1"/>
  <c r="K71" i="16"/>
  <c r="K35" i="16"/>
  <c r="L26" i="16"/>
  <c r="L83" i="16" s="1"/>
  <c r="L58" i="16"/>
  <c r="L64" i="16" s="1"/>
  <c r="K85" i="16"/>
  <c r="L82" i="16" l="1"/>
  <c r="L78" i="16"/>
  <c r="L110" i="16"/>
  <c r="L80" i="16"/>
  <c r="L79" i="16"/>
  <c r="L81" i="16"/>
  <c r="L84" i="16"/>
  <c r="L42" i="16"/>
  <c r="L45" i="16"/>
  <c r="L44" i="16"/>
  <c r="L43" i="16"/>
  <c r="L41" i="16"/>
  <c r="L47" i="16"/>
  <c r="L46" i="16"/>
  <c r="L72" i="16"/>
  <c r="L48" i="16"/>
  <c r="L70" i="16"/>
  <c r="L68" i="16"/>
  <c r="L69" i="16"/>
  <c r="L71" i="16"/>
  <c r="K73" i="16"/>
  <c r="L35" i="16"/>
  <c r="K36" i="16"/>
  <c r="K62" i="16" s="1"/>
  <c r="L31" i="16"/>
  <c r="L32" i="16"/>
  <c r="L33" i="16"/>
  <c r="L73" i="16" l="1"/>
  <c r="L112" i="16" s="1"/>
  <c r="L85" i="16"/>
  <c r="L113" i="16" s="1"/>
  <c r="L34" i="16"/>
  <c r="L36" i="16" s="1"/>
  <c r="L62" i="16" s="1"/>
  <c r="L40" i="16"/>
  <c r="L63" i="16" l="1"/>
  <c r="L65" i="16" s="1"/>
  <c r="L111" i="16" l="1"/>
  <c r="L115" i="16" s="1"/>
  <c r="L95" i="16" l="1"/>
  <c r="L96" i="16" s="1"/>
  <c r="L100" i="16" s="1"/>
  <c r="L98" i="16" l="1"/>
  <c r="L99" i="16"/>
  <c r="L101" i="16" l="1"/>
  <c r="L116" i="16" l="1"/>
  <c r="L117" i="16" s="1"/>
  <c r="E121" i="16" l="1"/>
  <c r="I121" i="16" s="1"/>
  <c r="M124" i="16"/>
  <c r="L121" i="16" l="1"/>
  <c r="L122" i="16" s="1"/>
  <c r="L123" i="16" s="1"/>
  <c r="C3" i="20"/>
  <c r="E3" i="20" l="1"/>
  <c r="E4" i="20" s="1"/>
  <c r="F3" i="20" l="1"/>
  <c r="F4" i="20" l="1"/>
  <c r="G4" i="20" s="1"/>
  <c r="G3" i="20"/>
</calcChain>
</file>

<file path=xl/sharedStrings.xml><?xml version="1.0" encoding="utf-8"?>
<sst xmlns="http://schemas.openxmlformats.org/spreadsheetml/2006/main" count="213" uniqueCount="153">
  <si>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</si>
  <si>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</si>
  <si>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</si>
  <si>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</si>
  <si>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</si>
  <si>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</si>
  <si>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</si>
  <si>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</si>
  <si>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</si>
  <si>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</si>
  <si>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</si>
  <si>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</si>
  <si>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</si>
  <si>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</si>
  <si>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</si>
  <si>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</si>
  <si>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</si>
  <si>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</si>
  <si>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</si>
  <si>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</si>
  <si>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</si>
  <si>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</si>
  <si>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</si>
  <si>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</si>
  <si>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</si>
  <si>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</si>
  <si>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</si>
  <si>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</si>
  <si>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</si>
  <si>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</si>
  <si>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</si>
  <si>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</si>
  <si>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</si>
  <si>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</si>
  <si>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</si>
  <si>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</si>
  <si>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</si>
  <si>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</si>
  <si>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</si>
  <si>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</si>
  <si>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</si>
  <si>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</si>
  <si>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</si>
  <si>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</si>
  <si>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</si>
  <si>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</si>
  <si>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</si>
  <si>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</si>
  <si>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Auxílio Refeição/ Alimentação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</si>
  <si>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</si>
  <si>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</si>
  <si>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</si>
  <si>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</si>
  <si>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</si>
  <si>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</si>
  <si>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</si>
  <si>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</si>
  <si>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</si>
  <si>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</si>
  <si>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Incidência do FGTS sobre Aviso Prévio Indenizado</t>
  </si>
  <si>
    <t>Aviso Prévio Trabalhado</t>
  </si>
  <si>
    <t>Incidência dos encargos do submodulo 2.2 sobre o aviso prévio trabalhado</t>
  </si>
  <si>
    <t>Férias</t>
  </si>
  <si>
    <t>Ausências Legais</t>
  </si>
  <si>
    <t>Licença paternidade</t>
  </si>
  <si>
    <t>Ausência por acidente do trabalho</t>
  </si>
  <si>
    <t>Afastamento Maternidade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</si>
  <si>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</si>
  <si>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</si>
  <si>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</si>
  <si>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</si>
  <si>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</si>
  <si>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</si>
  <si>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</si>
  <si>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</si>
  <si>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</si>
  <si>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</si>
  <si>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</si>
  <si>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</si>
  <si>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</si>
  <si>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Valor proposto por empregado
(B)</t>
  </si>
  <si>
    <t>Empregados por posto
(C)</t>
  </si>
  <si>
    <t>Valor  proposta por posto
(D) = (B) x (C)</t>
  </si>
  <si>
    <t>Qtde de postos
(E)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</si>
  <si>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</si>
  <si>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</si>
  <si>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</si>
  <si>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</si>
  <si>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</si>
  <si>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</si>
  <si>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</si>
  <si>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</si>
  <si>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</si>
  <si>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</si>
  <si>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</si>
  <si>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Fator K</t>
  </si>
  <si>
    <t>MÓDULO 06 –  Custos Indireto, Lucros e Tributos</t>
  </si>
  <si>
    <t>MÓDULO 05 – Insumos diversos</t>
  </si>
  <si>
    <t>Belo Horizonte</t>
  </si>
  <si>
    <t>posto</t>
  </si>
  <si>
    <t>01º de janeiro</t>
  </si>
  <si>
    <t>Programa de Assistência Familiar (PAF)</t>
  </si>
  <si>
    <r>
      <t xml:space="preserve">Nota 1: </t>
    </r>
    <r>
      <rPr>
        <sz val="12"/>
        <rFont val="Times New Roman"/>
        <family val="1"/>
      </rPr>
      <t xml:space="preserve">O valor informado deverá ser o custo real do benefício (descontado o valor eventualmente pago pelo empregado).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</si>
  <si>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</si>
  <si>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</t>
    </r>
  </si>
  <si>
    <t>Módulo 4 – Custo de reposição do profissional ausente - ausências legais</t>
  </si>
  <si>
    <t>Transporte (estimados 4 vales por empregado)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</si>
  <si>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</si>
  <si>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</si>
  <si>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</si>
  <si>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</si>
  <si>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r>
      <t xml:space="preserve">Nota 1: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</si>
  <si>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t>apoio administrativo</t>
  </si>
  <si>
    <t>TIPO DE SERVIÇO</t>
  </si>
  <si>
    <t xml:space="preserve">VALOR MENSAL DO SERVIÇO </t>
  </si>
  <si>
    <t>VALOR ANUAL DO SERVIÇO</t>
  </si>
  <si>
    <t>TOTAL</t>
  </si>
  <si>
    <t>ITEM</t>
  </si>
  <si>
    <t>VALOR ANUAL ESTIMADO DOS SERVIÇOS</t>
  </si>
  <si>
    <t>QUANTIDADE DE EMPREGADOS</t>
  </si>
  <si>
    <t>VALOR MENSAL ESTIMADO POR EMPREGADO</t>
  </si>
  <si>
    <t>contêm diferenças de arredondamento não significativas</t>
  </si>
  <si>
    <t xml:space="preserve">Subtotal </t>
  </si>
  <si>
    <t>Incidência do submódulo 2.2 sobre o módulo 2.1</t>
  </si>
  <si>
    <t>Multa do FGTS sobre o Aviso Prévio Trabalhado e Indenizado</t>
  </si>
  <si>
    <t xml:space="preserve">Piso Salarial </t>
  </si>
  <si>
    <t>Auxílio alimentação</t>
  </si>
  <si>
    <t>Auxílio transporte</t>
  </si>
  <si>
    <t>Adicional de férias</t>
  </si>
  <si>
    <t>Salário do profissional:</t>
  </si>
  <si>
    <t>Outros</t>
  </si>
  <si>
    <t>Assistente de Apoio aos Gestores</t>
  </si>
  <si>
    <t>VALOR TOTAL DO SERVIÇO</t>
  </si>
  <si>
    <t>PLANILHA UNIFORMES</t>
  </si>
  <si>
    <t>CUSO ESTIMADO COM UNIFORMES</t>
  </si>
  <si>
    <t>Categoria</t>
  </si>
  <si>
    <t>Descrição</t>
  </si>
  <si>
    <t>Quantidade Fornecida Anualmente</t>
  </si>
  <si>
    <t>Valor Unitário</t>
  </si>
  <si>
    <t>Valor Total Anual</t>
  </si>
  <si>
    <t>Custo Mensal</t>
  </si>
  <si>
    <r>
      <t xml:space="preserve">Calca social em </t>
    </r>
    <r>
      <rPr>
        <i/>
        <sz val="10"/>
        <color theme="1"/>
        <rFont val="Arial"/>
        <family val="2"/>
      </rPr>
      <t>Oxford</t>
    </r>
    <r>
      <rPr>
        <sz val="10"/>
        <color theme="1"/>
        <rFont val="Arial"/>
        <family val="2"/>
      </rPr>
      <t>,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100% </t>
    </r>
    <r>
      <rPr>
        <i/>
        <sz val="10"/>
        <color theme="1"/>
        <rFont val="Arial"/>
        <family val="2"/>
      </rPr>
      <t xml:space="preserve">poliéster, </t>
    </r>
    <r>
      <rPr>
        <sz val="10"/>
        <color theme="1"/>
        <rFont val="Arial"/>
        <family val="2"/>
      </rPr>
      <t xml:space="preserve">cós embutido e zíper frontal </t>
    </r>
  </si>
  <si>
    <r>
      <t xml:space="preserve">Blazer Oxford </t>
    </r>
    <r>
      <rPr>
        <sz val="10"/>
        <color theme="1"/>
        <rFont val="Arial"/>
        <family val="2"/>
      </rPr>
      <t xml:space="preserve">100% </t>
    </r>
    <r>
      <rPr>
        <i/>
        <sz val="10"/>
        <color theme="1"/>
        <rFont val="Arial"/>
        <family val="2"/>
      </rPr>
      <t xml:space="preserve">poliester </t>
    </r>
    <r>
      <rPr>
        <sz val="10"/>
        <color theme="1"/>
        <rFont val="Arial"/>
        <family val="2"/>
      </rPr>
      <t>forrado em tecido 100% acetato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com manga longa, gola e botões forrados com o mesmo tecido (</t>
    </r>
    <r>
      <rPr>
        <i/>
        <sz val="10"/>
        <color theme="1"/>
        <rFont val="Arial"/>
        <family val="2"/>
      </rPr>
      <t>Oxford</t>
    </r>
    <r>
      <rPr>
        <sz val="10"/>
        <color theme="1"/>
        <rFont val="Arial"/>
        <family val="2"/>
      </rPr>
      <t>)</t>
    </r>
  </si>
  <si>
    <t>Sapato feminino, tipo Scarpin, couro, na cor preta, salto forrado, de aproximadamente 4 cm ou sapato social masculino, couro, com ou sem cadarço, na cor preta, ortopédico</t>
  </si>
  <si>
    <t>NOTAS</t>
  </si>
  <si>
    <t>Obs. O resultado do Custo do uniforme por profissional deverá ser transportado para Planilha de Custos do Profissional - Insumos Diversos - UNIFORMES</t>
  </si>
  <si>
    <t>Assistente de Direção Superior</t>
  </si>
  <si>
    <t>Camisa feminina ou masculina com 73% algodão e 27 Poliéster, na cor branca, manga curta, com frente forrada em mesmo tecido, com botões e gola. Marca de referência (3.1 e Empório AGA)</t>
  </si>
  <si>
    <t>assistente de direção superior</t>
  </si>
  <si>
    <t>Orçamento Máxima Serviços</t>
  </si>
  <si>
    <t>Orçamento Top Service</t>
  </si>
  <si>
    <t>Orçamento Campos Conservadora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</si>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</sst>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R$-416]\ #,##0.00;[Red]\-[$R$-416]\ #,##0.00"/>
    <numFmt numFmtId="165" formatCode="mm/yy"/>
    <numFmt numFmtId="166" formatCode="0.00000"/>
    <numFmt numFmtId="167" formatCode="&quot; R$ &quot;#,##0.00\ ;&quot; R$ (&quot;#,##0.00\);&quot; R$ -&quot;#\ ;@\ "/>
    <numFmt numFmtId="168" formatCode="00"/>
    <numFmt numFmtId="169" formatCode="[$R$-416]#,##0.00;[Red]\-[$R$-416]#,##0.00"/>
    <numFmt numFmtId="170" formatCode="#,##0.0000"/>
    <numFmt numFmtId="171" formatCode="0.000%"/>
    <numFmt numFmtId="172" formatCode="0.0000%"/>
  </numFmts>
  <fonts count="22" x14ac:knownFonts="1">
    <font>
      <sz val="10"/>
      <name val="Arial"/>
      <family val="2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CCFFFF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  <border>
      <left style="hair">
        <color auto="1"/>
      </left>
      <right/>
      <top style="double">
        <color rgb="FF004586"/>
      </top>
      <bottom style="double">
        <color rgb="FF004586"/>
      </bottom>
      <diagonal/>
    </border>
    <border>
      <left/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13" fillId="0" borderId="0" applyBorder="0" applyAlignment="0" applyProtection="0"/>
    <xf numFmtId="9" fontId="13" fillId="0" borderId="0" applyBorder="0" applyAlignment="0" applyProtection="0"/>
    <xf numFmtId="0" fontId="1" fillId="3" borderId="0" applyBorder="0" applyAlignment="0" applyProtection="0"/>
    <xf numFmtId="43" fontId="13" fillId="0" borderId="0" applyFont="0" applyFill="0" applyBorder="0" applyAlignment="0" applyProtection="0"/>
  </cellStyleXfs>
  <cellXfs count="224">
    <xf numFmtId="0" fontId="0" fillId="0" borderId="0" xfId="0"/>
    <xf numFmtId="0" fontId="2" fillId="4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0" fontId="2" fillId="0" borderId="19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horizontal="center" vertical="center"/>
    </xf>
    <xf numFmtId="9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/>
    </xf>
    <xf numFmtId="0" fontId="2" fillId="4" borderId="29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7" fontId="3" fillId="2" borderId="20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167" fontId="3" fillId="2" borderId="1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0" fontId="3" fillId="6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0" fontId="13" fillId="0" borderId="0" xfId="2" applyNumberFormat="1" applyAlignment="1">
      <alignment vertical="center"/>
    </xf>
    <xf numFmtId="171" fontId="13" fillId="0" borderId="0" xfId="2" applyNumberFormat="1" applyAlignment="1">
      <alignment vertical="center"/>
    </xf>
    <xf numFmtId="0" fontId="0" fillId="0" borderId="0" xfId="0"/>
    <xf numFmtId="167" fontId="13" fillId="0" borderId="0" xfId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13" fillId="0" borderId="0" xfId="1" applyFill="1" applyAlignment="1">
      <alignment vertical="center"/>
    </xf>
    <xf numFmtId="0" fontId="4" fillId="5" borderId="8" xfId="0" applyFont="1" applyFill="1" applyBorder="1" applyAlignment="1">
      <alignment horizontal="center" vertical="center" wrapText="1"/>
    </xf>
    <xf numFmtId="0" fontId="12" fillId="9" borderId="1" xfId="0" applyFont="1" applyFill="1" applyBorder="1"/>
    <xf numFmtId="0" fontId="0" fillId="0" borderId="1" xfId="0" applyBorder="1" applyAlignment="1">
      <alignment wrapText="1"/>
    </xf>
    <xf numFmtId="167" fontId="13" fillId="0" borderId="1" xfId="1" applyBorder="1"/>
    <xf numFmtId="0" fontId="0" fillId="0" borderId="1" xfId="0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7" fontId="14" fillId="0" borderId="1" xfId="1" applyFont="1" applyBorder="1"/>
    <xf numFmtId="4" fontId="0" fillId="0" borderId="0" xfId="0" applyNumberFormat="1"/>
    <xf numFmtId="10" fontId="3" fillId="2" borderId="1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12" fillId="0" borderId="0" xfId="0" applyFont="1"/>
    <xf numFmtId="167" fontId="13" fillId="0" borderId="0" xfId="1"/>
    <xf numFmtId="167" fontId="12" fillId="0" borderId="0" xfId="1" applyFont="1"/>
    <xf numFmtId="10" fontId="2" fillId="0" borderId="19" xfId="0" applyNumberFormat="1" applyFont="1" applyFill="1" applyBorder="1" applyAlignment="1">
      <alignment vertical="center"/>
    </xf>
    <xf numFmtId="10" fontId="2" fillId="0" borderId="8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167" fontId="15" fillId="0" borderId="1" xfId="1" applyFont="1" applyBorder="1"/>
    <xf numFmtId="0" fontId="19" fillId="11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167" fontId="15" fillId="0" borderId="1" xfId="1" applyFont="1" applyBorder="1" applyAlignment="1">
      <alignment vertical="center"/>
    </xf>
    <xf numFmtId="167" fontId="20" fillId="10" borderId="1" xfId="1" applyFont="1" applyFill="1" applyBorder="1"/>
    <xf numFmtId="0" fontId="21" fillId="0" borderId="1" xfId="0" applyFont="1" applyBorder="1" applyAlignment="1">
      <alignment wrapText="1"/>
    </xf>
    <xf numFmtId="0" fontId="15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4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7" fontId="15" fillId="13" borderId="1" xfId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horizontal="center" vertical="center"/>
    </xf>
    <xf numFmtId="165" fontId="4" fillId="12" borderId="25" xfId="0" applyNumberFormat="1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vertical="center"/>
    </xf>
    <xf numFmtId="10" fontId="2" fillId="12" borderId="8" xfId="0" applyNumberFormat="1" applyFont="1" applyFill="1" applyBorder="1" applyAlignment="1">
      <alignment horizontal="center" vertical="center"/>
    </xf>
    <xf numFmtId="10" fontId="4" fillId="12" borderId="8" xfId="0" applyNumberFormat="1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10" fontId="7" fillId="5" borderId="15" xfId="0" applyNumberFormat="1" applyFont="1" applyFill="1" applyBorder="1" applyAlignment="1">
      <alignment horizontal="center" vertical="center"/>
    </xf>
    <xf numFmtId="10" fontId="7" fillId="5" borderId="11" xfId="0" applyNumberFormat="1" applyFont="1" applyFill="1" applyBorder="1" applyAlignment="1">
      <alignment horizontal="center" vertical="center"/>
    </xf>
    <xf numFmtId="10" fontId="7" fillId="5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28" xfId="0" applyFont="1" applyBorder="1" applyAlignment="1">
      <alignment horizontal="justify" vertical="top"/>
    </xf>
    <xf numFmtId="0" fontId="3" fillId="0" borderId="29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2" fillId="0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166" fontId="2" fillId="5" borderId="24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justify" vertical="top" wrapText="1"/>
    </xf>
    <xf numFmtId="0" fontId="2" fillId="4" borderId="3" xfId="0" applyFont="1" applyFill="1" applyBorder="1" applyAlignment="1">
      <alignment horizontal="justify" vertical="top" wrapText="1"/>
    </xf>
    <xf numFmtId="0" fontId="2" fillId="4" borderId="5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justify" vertical="top" wrapText="1"/>
    </xf>
    <xf numFmtId="0" fontId="2" fillId="4" borderId="28" xfId="0" applyFont="1" applyFill="1" applyBorder="1" applyAlignment="1">
      <alignment horizontal="justify" vertical="top" wrapText="1"/>
    </xf>
    <xf numFmtId="0" fontId="2" fillId="4" borderId="29" xfId="0" applyFont="1" applyFill="1" applyBorder="1" applyAlignment="1">
      <alignment horizontal="justify" vertical="top" wrapText="1"/>
    </xf>
    <xf numFmtId="0" fontId="2" fillId="4" borderId="16" xfId="0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2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3" fillId="2" borderId="9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left" vertical="center"/>
    </xf>
    <xf numFmtId="14" fontId="2" fillId="5" borderId="13" xfId="0" applyNumberFormat="1" applyFont="1" applyFill="1" applyBorder="1" applyAlignment="1">
      <alignment horizontal="center" vertical="center"/>
    </xf>
    <xf numFmtId="14" fontId="2" fillId="5" borderId="19" xfId="0" applyNumberFormat="1" applyFont="1" applyFill="1" applyBorder="1" applyAlignment="1">
      <alignment horizontal="center" vertical="center"/>
    </xf>
    <xf numFmtId="14" fontId="2" fillId="5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9" fillId="11" borderId="32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19" fillId="11" borderId="34" xfId="0" applyFont="1" applyFill="1" applyBorder="1" applyAlignment="1">
      <alignment horizontal="center"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horizontal="center" vertical="center" wrapText="1"/>
    </xf>
    <xf numFmtId="0" fontId="19" fillId="11" borderId="38" xfId="0" applyFont="1" applyFill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10" borderId="32" xfId="0" applyFont="1" applyFill="1" applyBorder="1" applyAlignment="1">
      <alignment horizontal="center"/>
    </xf>
    <xf numFmtId="0" fontId="20" fillId="10" borderId="33" xfId="0" applyFont="1" applyFill="1" applyBorder="1" applyAlignment="1">
      <alignment horizontal="center"/>
    </xf>
    <xf numFmtId="0" fontId="20" fillId="10" borderId="34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10" borderId="36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oeda" xfId="1" builtinId="4"/>
    <cellStyle name="Normal" xfId="0" builtinId="0"/>
    <cellStyle name="Porcentagem" xfId="2" builtinId="5"/>
    <cellStyle name="Texto Explicativo" xfId="3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topLeftCell="C1" workbookViewId="0">
      <selection activeCell="E4" sqref="E4"/>
    </sheetView>
  </sheetViews>
  <sheetFormatPr defaultRowHeight="12.75" x14ac:dyDescent="0.2"/>
  <cols>
    <col min="1" max="1" width="9.140625" style="53"/>
    <col min="2" max="2" width="28.28515625" customWidth="1"/>
    <col min="3" max="3" width="44.140625" bestFit="1" customWidth="1"/>
    <col min="4" max="4" width="30.42578125" bestFit="1" customWidth="1"/>
    <col min="5" max="5" width="28.85546875" bestFit="1" customWidth="1"/>
    <col min="6" max="6" width="28" customWidth="1"/>
    <col min="7" max="7" width="26.85546875" bestFit="1" customWidth="1"/>
  </cols>
  <sheetData>
    <row r="1" spans="1:7" s="53" customFormat="1" ht="16.5" customHeight="1" x14ac:dyDescent="0.2">
      <c r="A1" s="100" t="s">
        <v>118</v>
      </c>
      <c r="B1" s="101"/>
      <c r="C1" s="101"/>
      <c r="D1" s="101"/>
      <c r="E1" s="101"/>
      <c r="F1" s="101"/>
      <c r="G1" s="102"/>
    </row>
    <row r="2" spans="1:7" x14ac:dyDescent="0.2">
      <c r="A2" s="64" t="s">
        <v>117</v>
      </c>
      <c r="B2" s="64" t="s">
        <v>113</v>
      </c>
      <c r="C2" s="64" t="s">
        <v>120</v>
      </c>
      <c r="D2" s="64" t="s">
        <v>119</v>
      </c>
      <c r="E2" s="64" t="s">
        <v>114</v>
      </c>
      <c r="F2" s="64" t="s">
        <v>115</v>
      </c>
      <c r="G2" s="64" t="s">
        <v>132</v>
      </c>
    </row>
    <row r="3" spans="1:7" x14ac:dyDescent="0.2">
      <c r="A3" s="67">
        <v>1</v>
      </c>
      <c r="B3" s="65" t="s">
        <v>146</v>
      </c>
      <c r="C3" s="66">
        <f>'Ass. Dir.'!I121</f>
        <v>16906.66129974664</v>
      </c>
      <c r="D3" s="81">
        <v>4</v>
      </c>
      <c r="E3" s="82">
        <f>ROUND(D3*C3,2)</f>
        <v>67626.649999999994</v>
      </c>
      <c r="F3" s="82">
        <f>E3*12</f>
        <v>811519.79999999993</v>
      </c>
      <c r="G3" s="82">
        <f>F3*5</f>
        <v>4057598.9999999995</v>
      </c>
    </row>
    <row r="4" spans="1:7" ht="15.75" x14ac:dyDescent="0.25">
      <c r="A4" s="69"/>
      <c r="B4" s="68" t="s">
        <v>116</v>
      </c>
      <c r="C4" s="70"/>
      <c r="D4" s="68">
        <f>SUM(D3:D3)</f>
        <v>4</v>
      </c>
      <c r="E4" s="70">
        <f>SUM(E3:E3)</f>
        <v>67626.649999999994</v>
      </c>
      <c r="F4" s="70">
        <f>SUM(F3:F3)</f>
        <v>811519.79999999993</v>
      </c>
      <c r="G4" s="70">
        <f>F4*5</f>
        <v>4057598.9999999995</v>
      </c>
    </row>
    <row r="6" spans="1:7" x14ac:dyDescent="0.2">
      <c r="F6" t="s">
        <v>121</v>
      </c>
    </row>
    <row r="9" spans="1:7" x14ac:dyDescent="0.2">
      <c r="C9" s="53"/>
    </row>
    <row r="10" spans="1:7" x14ac:dyDescent="0.2">
      <c r="F10" s="71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="85" zoomScaleNormal="85" workbookViewId="0">
      <selection activeCell="B3" sqref="B3"/>
    </sheetView>
  </sheetViews>
  <sheetFormatPr defaultRowHeight="12.75" x14ac:dyDescent="0.2"/>
  <cols>
    <col min="1" max="1" width="38.85546875" style="76" bestFit="1" customWidth="1"/>
    <col min="2" max="2" width="34.7109375" style="77" bestFit="1" customWidth="1"/>
  </cols>
  <sheetData>
    <row r="1" spans="1:2" s="76" customFormat="1" x14ac:dyDescent="0.2">
      <c r="B1" s="78" t="s">
        <v>131</v>
      </c>
    </row>
    <row r="2" spans="1:2" x14ac:dyDescent="0.2">
      <c r="A2" s="76" t="s">
        <v>125</v>
      </c>
      <c r="B2" s="77">
        <v>7536.92</v>
      </c>
    </row>
    <row r="3" spans="1:2" x14ac:dyDescent="0.2">
      <c r="A3" s="76" t="s">
        <v>126</v>
      </c>
      <c r="B3" s="77">
        <v>27.24</v>
      </c>
    </row>
    <row r="4" spans="1:2" x14ac:dyDescent="0.2">
      <c r="A4" s="76" t="s">
        <v>127</v>
      </c>
      <c r="B4" s="77">
        <v>5.25</v>
      </c>
    </row>
    <row r="5" spans="1:2" x14ac:dyDescent="0.2">
      <c r="A5" s="76" t="s">
        <v>101</v>
      </c>
    </row>
    <row r="6" spans="1:2" x14ac:dyDescent="0.2">
      <c r="A6" s="76" t="s">
        <v>130</v>
      </c>
      <c r="B6" s="77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048539"/>
  <sheetViews>
    <sheetView topLeftCell="A117" workbookViewId="0">
      <selection activeCell="L121" sqref="L121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3" customWidth="1"/>
    <col min="1026" max="16384" width="9.140625" style="53"/>
  </cols>
  <sheetData>
    <row r="1" spans="1:12" ht="21.75" customHeight="1" thickTop="1" thickBot="1" x14ac:dyDescent="0.25">
      <c r="A1" s="1"/>
      <c r="B1" s="107" t="s">
        <v>21</v>
      </c>
      <c r="C1" s="107"/>
      <c r="D1" s="107"/>
      <c r="E1" s="107"/>
      <c r="F1" s="107"/>
      <c r="G1" s="107"/>
      <c r="H1" s="107"/>
      <c r="I1" s="107"/>
      <c r="J1" s="115"/>
      <c r="K1" s="2"/>
      <c r="L1" s="3"/>
    </row>
    <row r="2" spans="1:12" ht="21.75" customHeight="1" thickTop="1" thickBot="1" x14ac:dyDescent="0.25">
      <c r="A2" s="1"/>
      <c r="B2" s="182" t="s">
        <v>0</v>
      </c>
      <c r="C2" s="182"/>
      <c r="D2" s="182"/>
      <c r="E2" s="183"/>
      <c r="F2" s="183"/>
      <c r="G2" s="183"/>
      <c r="H2" s="183"/>
      <c r="I2" s="183"/>
      <c r="J2" s="184"/>
      <c r="K2" s="4"/>
      <c r="L2" s="5"/>
    </row>
    <row r="3" spans="1:12" ht="21.75" customHeight="1" thickTop="1" thickBot="1" x14ac:dyDescent="0.25">
      <c r="A3" s="1"/>
      <c r="B3" s="182" t="s">
        <v>1</v>
      </c>
      <c r="C3" s="182"/>
      <c r="D3" s="182"/>
      <c r="E3" s="185"/>
      <c r="F3" s="185"/>
      <c r="G3" s="185"/>
      <c r="H3" s="185"/>
      <c r="I3" s="185"/>
      <c r="J3" s="186"/>
      <c r="K3" s="4"/>
      <c r="L3" s="5"/>
    </row>
    <row r="4" spans="1:12" ht="21.75" customHeight="1" thickTop="1" thickBot="1" x14ac:dyDescent="0.25">
      <c r="A4" s="1"/>
      <c r="B4" s="182" t="s">
        <v>2</v>
      </c>
      <c r="C4" s="182"/>
      <c r="D4" s="182"/>
      <c r="E4" s="187"/>
      <c r="F4" s="188"/>
      <c r="G4" s="189"/>
      <c r="H4" s="97" t="s">
        <v>3</v>
      </c>
      <c r="I4" s="183"/>
      <c r="J4" s="184"/>
      <c r="K4" s="4"/>
      <c r="L4" s="5"/>
    </row>
    <row r="5" spans="1:12" ht="21.75" customHeight="1" thickTop="1" thickBot="1" x14ac:dyDescent="0.25">
      <c r="A5" s="1"/>
      <c r="B5" s="174" t="s">
        <v>22</v>
      </c>
      <c r="C5" s="174"/>
      <c r="D5" s="174"/>
      <c r="E5" s="175" t="s">
        <v>112</v>
      </c>
      <c r="F5" s="175"/>
      <c r="G5" s="175"/>
      <c r="H5" s="175"/>
      <c r="I5" s="175"/>
      <c r="J5" s="175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4" t="s">
        <v>23</v>
      </c>
      <c r="C7" s="176" t="s">
        <v>4</v>
      </c>
      <c r="D7" s="176"/>
      <c r="E7" s="176"/>
      <c r="F7" s="176"/>
      <c r="G7" s="177" t="s">
        <v>98</v>
      </c>
      <c r="H7" s="177"/>
      <c r="I7" s="177"/>
      <c r="J7" s="177"/>
      <c r="K7" s="177"/>
      <c r="L7" s="177"/>
    </row>
    <row r="8" spans="1:12" ht="21.75" customHeight="1" thickTop="1" thickBot="1" x14ac:dyDescent="0.25">
      <c r="A8" s="1"/>
      <c r="B8" s="14" t="s">
        <v>23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60</v>
      </c>
    </row>
    <row r="9" spans="1:12" ht="21.75" customHeight="1" thickTop="1" thickBot="1" x14ac:dyDescent="0.25">
      <c r="A9" s="1"/>
      <c r="B9" s="14" t="s">
        <v>23</v>
      </c>
      <c r="C9" s="15" t="s">
        <v>86</v>
      </c>
      <c r="D9" s="15"/>
      <c r="E9" s="15"/>
      <c r="F9" s="15"/>
      <c r="G9" s="15"/>
      <c r="H9" s="15"/>
      <c r="I9" s="15"/>
      <c r="J9" s="15"/>
      <c r="K9" s="15"/>
      <c r="L9" s="16">
        <v>2024</v>
      </c>
    </row>
    <row r="10" spans="1:12" ht="21.75" customHeight="1" thickTop="1" thickBot="1" x14ac:dyDescent="0.25">
      <c r="A10" s="1"/>
      <c r="B10" s="14" t="s">
        <v>23</v>
      </c>
      <c r="C10" s="15" t="s">
        <v>6</v>
      </c>
      <c r="D10" s="15"/>
      <c r="E10" s="15"/>
      <c r="F10" s="15"/>
      <c r="G10" s="15"/>
      <c r="H10" s="15"/>
      <c r="I10" s="15"/>
      <c r="J10" s="15"/>
      <c r="K10" s="15"/>
      <c r="L10" s="16" t="s">
        <v>99</v>
      </c>
    </row>
    <row r="11" spans="1:12" ht="21.75" customHeight="1" thickTop="1" thickBot="1" x14ac:dyDescent="0.25">
      <c r="A11" s="1"/>
      <c r="B11" s="14" t="s">
        <v>23</v>
      </c>
      <c r="C11" s="15" t="s">
        <v>7</v>
      </c>
      <c r="D11" s="15"/>
      <c r="E11" s="15"/>
      <c r="F11" s="15"/>
      <c r="G11" s="15"/>
      <c r="H11" s="15"/>
      <c r="I11" s="15"/>
      <c r="J11" s="15"/>
      <c r="K11" s="15"/>
      <c r="L11" s="17">
        <v>4</v>
      </c>
    </row>
    <row r="12" spans="1:12" ht="21.75" customHeight="1" thickTop="1" thickBot="1" x14ac:dyDescent="0.25">
      <c r="A12" s="1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1:12" ht="21.75" customHeight="1" thickTop="1" thickBot="1" x14ac:dyDescent="0.25">
      <c r="A13" s="1"/>
      <c r="B13" s="181"/>
      <c r="C13" s="179"/>
      <c r="D13" s="179"/>
      <c r="E13" s="179"/>
      <c r="F13" s="179"/>
      <c r="G13" s="179"/>
      <c r="H13" s="179"/>
      <c r="I13" s="179"/>
      <c r="J13" s="179"/>
      <c r="K13" s="179"/>
      <c r="L13" s="180"/>
    </row>
    <row r="14" spans="1:12" ht="21.75" customHeight="1" thickTop="1" thickBot="1" x14ac:dyDescent="0.25">
      <c r="A14" s="1"/>
      <c r="B14" s="181"/>
      <c r="C14" s="179"/>
      <c r="D14" s="179"/>
      <c r="E14" s="179"/>
      <c r="F14" s="179"/>
      <c r="G14" s="179"/>
      <c r="H14" s="179"/>
      <c r="I14" s="179"/>
      <c r="J14" s="179"/>
      <c r="K14" s="179"/>
      <c r="L14" s="180"/>
    </row>
    <row r="15" spans="1:12" ht="21.75" customHeight="1" thickTop="1" thickBot="1" x14ac:dyDescent="0.25">
      <c r="A15" s="1"/>
      <c r="B15" s="115" t="s">
        <v>24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21.75" customHeight="1" thickTop="1" thickBot="1" x14ac:dyDescent="0.25">
      <c r="A16" s="1"/>
      <c r="B16" s="18">
        <v>1</v>
      </c>
      <c r="C16" s="15" t="s">
        <v>129</v>
      </c>
      <c r="D16" s="15"/>
      <c r="E16" s="15"/>
      <c r="F16" s="15"/>
      <c r="G16" s="15"/>
      <c r="H16" s="15"/>
      <c r="I16" s="15"/>
      <c r="J16" s="15"/>
      <c r="K16" s="15"/>
      <c r="L16" s="19">
        <f>RESUMO!B2</f>
        <v>7536.92</v>
      </c>
    </row>
    <row r="17" spans="1:257" ht="33" thickTop="1" thickBot="1" x14ac:dyDescent="0.25">
      <c r="A17" s="1"/>
      <c r="B17" s="18">
        <v>2</v>
      </c>
      <c r="C17" s="15" t="s">
        <v>8</v>
      </c>
      <c r="D17" s="15"/>
      <c r="E17" s="15"/>
      <c r="F17" s="15"/>
      <c r="G17" s="15"/>
      <c r="H17" s="15"/>
      <c r="I17" s="15"/>
      <c r="J17" s="15"/>
      <c r="K17" s="15"/>
      <c r="L17" s="63" t="s">
        <v>148</v>
      </c>
    </row>
    <row r="18" spans="1:257" ht="21.75" customHeight="1" thickTop="1" thickBot="1" x14ac:dyDescent="0.25">
      <c r="A18" s="1"/>
      <c r="B18" s="18">
        <v>3</v>
      </c>
      <c r="C18" s="15" t="s">
        <v>9</v>
      </c>
      <c r="D18" s="15"/>
      <c r="E18" s="15"/>
      <c r="F18" s="15"/>
      <c r="G18" s="15"/>
      <c r="H18" s="15"/>
      <c r="I18" s="15"/>
      <c r="J18" s="15"/>
      <c r="K18" s="15"/>
      <c r="L18" s="20" t="s">
        <v>100</v>
      </c>
    </row>
    <row r="19" spans="1:257" ht="21.75" customHeight="1" thickTop="1" thickBot="1" x14ac:dyDescent="0.25">
      <c r="A19" s="1"/>
      <c r="B19" s="55">
        <v>4</v>
      </c>
      <c r="C19" s="190" t="s">
        <v>25</v>
      </c>
      <c r="D19" s="191"/>
      <c r="E19" s="191"/>
      <c r="F19" s="191"/>
      <c r="G19" s="191"/>
      <c r="H19" s="191"/>
      <c r="I19" s="191"/>
      <c r="J19" s="191"/>
      <c r="K19" s="191"/>
      <c r="L19" s="96"/>
    </row>
    <row r="20" spans="1:257" ht="21.75" customHeight="1" thickTop="1" x14ac:dyDescent="0.2">
      <c r="A20" s="1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257" ht="19.149999999999999" customHeight="1" thickBot="1" x14ac:dyDescent="0.25">
      <c r="A21" s="1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1:257" ht="21.6" hidden="1" customHeight="1" x14ac:dyDescent="0.2">
      <c r="A22" s="1"/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70"/>
    </row>
    <row r="23" spans="1:257" ht="21.75" customHeight="1" thickTop="1" thickBot="1" x14ac:dyDescent="0.25">
      <c r="A23" s="1"/>
      <c r="B23" s="115" t="s">
        <v>90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56" t="s">
        <v>27</v>
      </c>
    </row>
    <row r="24" spans="1:257" ht="21.75" customHeight="1" thickTop="1" thickBot="1" x14ac:dyDescent="0.25">
      <c r="A24" s="1"/>
      <c r="B24" s="18" t="s">
        <v>28</v>
      </c>
      <c r="C24" s="15" t="s">
        <v>29</v>
      </c>
      <c r="D24" s="15"/>
      <c r="E24" s="15"/>
      <c r="F24" s="15"/>
      <c r="G24" s="15"/>
      <c r="H24" s="15"/>
      <c r="I24" s="15"/>
      <c r="J24" s="15"/>
      <c r="K24" s="21"/>
      <c r="L24" s="22">
        <f>L16</f>
        <v>7536.92</v>
      </c>
    </row>
    <row r="25" spans="1:257" ht="21.6" hidden="1" customHeight="1" x14ac:dyDescent="0.2">
      <c r="A25" s="1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3"/>
    </row>
    <row r="26" spans="1:257" ht="21.75" customHeight="1" thickTop="1" thickBot="1" x14ac:dyDescent="0.25">
      <c r="A26" s="1"/>
      <c r="B26" s="107" t="s">
        <v>89</v>
      </c>
      <c r="C26" s="108"/>
      <c r="D26" s="108"/>
      <c r="E26" s="108"/>
      <c r="F26" s="108"/>
      <c r="G26" s="108"/>
      <c r="H26" s="108"/>
      <c r="I26" s="108"/>
      <c r="J26" s="108"/>
      <c r="K26" s="118"/>
      <c r="L26" s="23">
        <f>SUM(L24:L24)</f>
        <v>7536.92</v>
      </c>
      <c r="N26" s="45"/>
    </row>
    <row r="27" spans="1:257" ht="21.75" customHeight="1" thickTop="1" x14ac:dyDescent="0.2">
      <c r="A27" s="1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4"/>
    </row>
    <row r="28" spans="1:257" ht="32.450000000000003" customHeight="1" thickBot="1" x14ac:dyDescent="0.25">
      <c r="A28" s="1"/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70"/>
    </row>
    <row r="29" spans="1:257" ht="21.75" customHeight="1" thickTop="1" thickBot="1" x14ac:dyDescent="0.25">
      <c r="A29" s="1"/>
      <c r="B29" s="107" t="s">
        <v>37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15"/>
    </row>
    <row r="30" spans="1:257" ht="21.75" customHeight="1" thickTop="1" thickBot="1" x14ac:dyDescent="0.25">
      <c r="A30" s="1"/>
      <c r="B30" s="107" t="s">
        <v>107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15"/>
      <c r="IO30" s="53"/>
      <c r="IP30" s="53"/>
      <c r="IQ30" s="53"/>
      <c r="IR30" s="53"/>
      <c r="IS30" s="53"/>
      <c r="IT30" s="53"/>
      <c r="IU30" s="53"/>
      <c r="IV30" s="53"/>
      <c r="IW30" s="53"/>
    </row>
    <row r="31" spans="1:257" ht="21.75" customHeight="1" thickTop="1" thickBot="1" x14ac:dyDescent="0.25">
      <c r="A31" s="1"/>
      <c r="B31" s="73" t="s">
        <v>28</v>
      </c>
      <c r="C31" s="192" t="s">
        <v>91</v>
      </c>
      <c r="D31" s="192"/>
      <c r="E31" s="192"/>
      <c r="F31" s="192"/>
      <c r="G31" s="192"/>
      <c r="H31" s="192"/>
      <c r="I31" s="192"/>
      <c r="J31" s="192"/>
      <c r="K31" s="24">
        <v>8.3299999999999999E-2</v>
      </c>
      <c r="L31" s="28">
        <f>$L$26*K31</f>
        <v>627.82543599999997</v>
      </c>
      <c r="IO31" s="53"/>
      <c r="IP31" s="53"/>
      <c r="IQ31" s="53"/>
      <c r="IR31" s="53"/>
      <c r="IS31" s="53"/>
      <c r="IT31" s="53"/>
      <c r="IU31" s="53"/>
      <c r="IV31" s="53"/>
      <c r="IW31" s="53"/>
    </row>
    <row r="32" spans="1:257" ht="21.75" customHeight="1" thickTop="1" thickBot="1" x14ac:dyDescent="0.25">
      <c r="A32" s="1"/>
      <c r="B32" s="73" t="s">
        <v>30</v>
      </c>
      <c r="C32" s="193" t="s">
        <v>62</v>
      </c>
      <c r="D32" s="194"/>
      <c r="E32" s="194"/>
      <c r="F32" s="194"/>
      <c r="G32" s="194"/>
      <c r="H32" s="194"/>
      <c r="I32" s="194"/>
      <c r="J32" s="195"/>
      <c r="K32" s="79">
        <v>9.0899999999999995E-2</v>
      </c>
      <c r="L32" s="28">
        <f t="shared" ref="L32:L33" si="0">$L$26*K32</f>
        <v>685.10602799999992</v>
      </c>
      <c r="IO32" s="53"/>
      <c r="IP32" s="53"/>
      <c r="IQ32" s="53"/>
      <c r="IR32" s="53"/>
      <c r="IS32" s="53"/>
      <c r="IT32" s="53"/>
      <c r="IU32" s="53"/>
      <c r="IV32" s="53"/>
      <c r="IW32" s="53"/>
    </row>
    <row r="33" spans="1:257" ht="21.75" customHeight="1" thickTop="1" thickBot="1" x14ac:dyDescent="0.25">
      <c r="A33" s="1"/>
      <c r="B33" s="74" t="s">
        <v>31</v>
      </c>
      <c r="C33" s="193" t="s">
        <v>128</v>
      </c>
      <c r="D33" s="194"/>
      <c r="E33" s="194"/>
      <c r="F33" s="194"/>
      <c r="G33" s="194"/>
      <c r="H33" s="194"/>
      <c r="I33" s="194"/>
      <c r="J33" s="194"/>
      <c r="K33" s="79">
        <f>K32/3</f>
        <v>3.0299999999999997E-2</v>
      </c>
      <c r="L33" s="28">
        <f t="shared" si="0"/>
        <v>228.36867599999999</v>
      </c>
      <c r="IO33" s="53"/>
      <c r="IP33" s="53"/>
      <c r="IQ33" s="53"/>
      <c r="IR33" s="53"/>
      <c r="IS33" s="53"/>
      <c r="IT33" s="53"/>
      <c r="IU33" s="53"/>
      <c r="IV33" s="53"/>
      <c r="IW33" s="53"/>
    </row>
    <row r="34" spans="1:257" ht="21.75" customHeight="1" thickTop="1" thickBot="1" x14ac:dyDescent="0.25">
      <c r="A34" s="1"/>
      <c r="B34" s="75"/>
      <c r="C34" s="196" t="s">
        <v>122</v>
      </c>
      <c r="D34" s="196"/>
      <c r="E34" s="196"/>
      <c r="F34" s="196"/>
      <c r="G34" s="196"/>
      <c r="H34" s="196"/>
      <c r="I34" s="196"/>
      <c r="J34" s="196"/>
      <c r="K34" s="72">
        <f>SUM(K31:K33)</f>
        <v>0.20449999999999999</v>
      </c>
      <c r="L34" s="23">
        <f>SUM(L31:L33)</f>
        <v>1541.3001399999998</v>
      </c>
      <c r="IO34" s="53"/>
      <c r="IP34" s="53"/>
      <c r="IQ34" s="53"/>
      <c r="IR34" s="53"/>
      <c r="IS34" s="53"/>
      <c r="IT34" s="53"/>
      <c r="IU34" s="53"/>
      <c r="IV34" s="53"/>
      <c r="IW34" s="53"/>
    </row>
    <row r="35" spans="1:257" ht="21.75" customHeight="1" thickTop="1" thickBot="1" x14ac:dyDescent="0.25">
      <c r="A35" s="1"/>
      <c r="B35" s="73" t="s">
        <v>32</v>
      </c>
      <c r="C35" s="197" t="s">
        <v>123</v>
      </c>
      <c r="D35" s="197"/>
      <c r="E35" s="197"/>
      <c r="F35" s="197"/>
      <c r="G35" s="197"/>
      <c r="H35" s="197"/>
      <c r="I35" s="197"/>
      <c r="J35" s="197"/>
      <c r="K35" s="79">
        <f>K40*K34</f>
        <v>7.3801391500000008E-2</v>
      </c>
      <c r="L35" s="50">
        <f>$L$26*K35</f>
        <v>556.23518362418008</v>
      </c>
      <c r="IO35" s="53"/>
      <c r="IP35" s="53"/>
      <c r="IQ35" s="53"/>
      <c r="IR35" s="53"/>
      <c r="IS35" s="53"/>
      <c r="IT35" s="53"/>
      <c r="IU35" s="53"/>
      <c r="IV35" s="53"/>
      <c r="IW35" s="53"/>
    </row>
    <row r="36" spans="1:257" ht="21.75" customHeight="1" thickTop="1" thickBot="1" x14ac:dyDescent="0.25">
      <c r="A36" s="1"/>
      <c r="B36" s="75"/>
      <c r="C36" s="196" t="s">
        <v>50</v>
      </c>
      <c r="D36" s="196"/>
      <c r="E36" s="196"/>
      <c r="F36" s="196"/>
      <c r="G36" s="196"/>
      <c r="H36" s="196"/>
      <c r="I36" s="196"/>
      <c r="J36" s="196"/>
      <c r="K36" s="72">
        <f>SUM(K34:K35)</f>
        <v>0.27830139149999999</v>
      </c>
      <c r="L36" s="23">
        <f>SUM(L34:L35)</f>
        <v>2097.5353236241799</v>
      </c>
      <c r="IO36" s="53"/>
      <c r="IP36" s="53"/>
      <c r="IQ36" s="53"/>
      <c r="IR36" s="53"/>
      <c r="IS36" s="53"/>
      <c r="IT36" s="53"/>
      <c r="IU36" s="53"/>
      <c r="IV36" s="53"/>
      <c r="IW36" s="53"/>
    </row>
    <row r="37" spans="1:257" ht="21.75" customHeight="1" thickTop="1" x14ac:dyDescent="0.2">
      <c r="A37" s="1"/>
      <c r="B37" s="123"/>
      <c r="C37" s="199"/>
      <c r="D37" s="199"/>
      <c r="E37" s="199"/>
      <c r="F37" s="199"/>
      <c r="G37" s="199"/>
      <c r="H37" s="199"/>
      <c r="I37" s="199"/>
      <c r="J37" s="199"/>
      <c r="K37" s="199"/>
      <c r="L37" s="200"/>
    </row>
    <row r="38" spans="1:257" ht="55.15" customHeight="1" thickBot="1" x14ac:dyDescent="0.25">
      <c r="A38" s="1"/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3"/>
    </row>
    <row r="39" spans="1:257" ht="21.75" customHeight="1" thickTop="1" thickBot="1" x14ac:dyDescent="0.25">
      <c r="A39" s="1"/>
      <c r="B39" s="107" t="s">
        <v>38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15"/>
    </row>
    <row r="40" spans="1:257" ht="27" customHeight="1" thickTop="1" thickBot="1" x14ac:dyDescent="0.25">
      <c r="A40" s="1"/>
      <c r="B40" s="107" t="s">
        <v>50</v>
      </c>
      <c r="C40" s="107"/>
      <c r="D40" s="107"/>
      <c r="E40" s="107"/>
      <c r="F40" s="107"/>
      <c r="G40" s="107"/>
      <c r="H40" s="107"/>
      <c r="I40" s="107"/>
      <c r="J40" s="107"/>
      <c r="K40" s="44">
        <f>SUM(K41:K48)</f>
        <v>0.36088700000000007</v>
      </c>
      <c r="L40" s="23">
        <f>SUM(L41:L48)</f>
        <v>2719.9764480400004</v>
      </c>
    </row>
    <row r="41" spans="1:257" ht="21.75" customHeight="1" thickTop="1" thickBot="1" x14ac:dyDescent="0.25">
      <c r="A41" s="1"/>
      <c r="B41" s="18" t="s">
        <v>28</v>
      </c>
      <c r="C41" s="198" t="s">
        <v>39</v>
      </c>
      <c r="D41" s="198"/>
      <c r="E41" s="198"/>
      <c r="F41" s="198"/>
      <c r="G41" s="198"/>
      <c r="H41" s="198"/>
      <c r="I41" s="198"/>
      <c r="J41" s="198"/>
      <c r="K41" s="25">
        <v>0.2</v>
      </c>
      <c r="L41" s="60">
        <f>K41*$L$26</f>
        <v>1507.384</v>
      </c>
    </row>
    <row r="42" spans="1:257" ht="21.75" customHeight="1" thickTop="1" thickBot="1" x14ac:dyDescent="0.25">
      <c r="A42" s="1"/>
      <c r="B42" s="18" t="s">
        <v>30</v>
      </c>
      <c r="C42" s="198" t="s">
        <v>40</v>
      </c>
      <c r="D42" s="198"/>
      <c r="E42" s="198"/>
      <c r="F42" s="198"/>
      <c r="G42" s="198"/>
      <c r="H42" s="198"/>
      <c r="I42" s="198"/>
      <c r="J42" s="198"/>
      <c r="K42" s="25">
        <v>1.4999999999999999E-2</v>
      </c>
      <c r="L42" s="60">
        <f>K42*$L$26</f>
        <v>113.0538</v>
      </c>
    </row>
    <row r="43" spans="1:257" ht="21.75" customHeight="1" thickTop="1" thickBot="1" x14ac:dyDescent="0.25">
      <c r="A43" s="1"/>
      <c r="B43" s="18" t="s">
        <v>31</v>
      </c>
      <c r="C43" s="198" t="s">
        <v>41</v>
      </c>
      <c r="D43" s="198"/>
      <c r="E43" s="198"/>
      <c r="F43" s="198"/>
      <c r="G43" s="198"/>
      <c r="H43" s="198"/>
      <c r="I43" s="198"/>
      <c r="J43" s="198"/>
      <c r="K43" s="25">
        <v>0.01</v>
      </c>
      <c r="L43" s="60">
        <f t="shared" ref="L43:L48" si="1">K43*$L$26</f>
        <v>75.369200000000006</v>
      </c>
    </row>
    <row r="44" spans="1:257" ht="21.75" customHeight="1" thickTop="1" thickBot="1" x14ac:dyDescent="0.25">
      <c r="A44" s="1"/>
      <c r="B44" s="18" t="s">
        <v>32</v>
      </c>
      <c r="C44" s="198" t="s">
        <v>42</v>
      </c>
      <c r="D44" s="198"/>
      <c r="E44" s="198"/>
      <c r="F44" s="198"/>
      <c r="G44" s="198"/>
      <c r="H44" s="198"/>
      <c r="I44" s="198"/>
      <c r="J44" s="198"/>
      <c r="K44" s="25">
        <v>2E-3</v>
      </c>
      <c r="L44" s="60">
        <f t="shared" si="1"/>
        <v>15.073840000000001</v>
      </c>
    </row>
    <row r="45" spans="1:257" ht="21.75" customHeight="1" thickTop="1" thickBot="1" x14ac:dyDescent="0.25">
      <c r="A45" s="1"/>
      <c r="B45" s="18" t="s">
        <v>33</v>
      </c>
      <c r="C45" s="198" t="s">
        <v>43</v>
      </c>
      <c r="D45" s="198"/>
      <c r="E45" s="198"/>
      <c r="F45" s="198"/>
      <c r="G45" s="198"/>
      <c r="H45" s="198"/>
      <c r="I45" s="198"/>
      <c r="J45" s="198"/>
      <c r="K45" s="25">
        <v>2.5000000000000001E-2</v>
      </c>
      <c r="L45" s="60">
        <f t="shared" si="1"/>
        <v>188.423</v>
      </c>
    </row>
    <row r="46" spans="1:257" ht="21.75" customHeight="1" thickTop="1" thickBot="1" x14ac:dyDescent="0.25">
      <c r="A46" s="1"/>
      <c r="B46" s="18" t="s">
        <v>34</v>
      </c>
      <c r="C46" s="198" t="s">
        <v>44</v>
      </c>
      <c r="D46" s="198"/>
      <c r="E46" s="198"/>
      <c r="F46" s="198"/>
      <c r="G46" s="198"/>
      <c r="H46" s="198"/>
      <c r="I46" s="198"/>
      <c r="J46" s="198"/>
      <c r="K46" s="25">
        <v>0.08</v>
      </c>
      <c r="L46" s="60">
        <f t="shared" si="1"/>
        <v>602.95360000000005</v>
      </c>
    </row>
    <row r="47" spans="1:257" ht="21.75" customHeight="1" thickTop="1" thickBot="1" x14ac:dyDescent="0.25">
      <c r="A47" s="1"/>
      <c r="B47" s="18" t="s">
        <v>35</v>
      </c>
      <c r="C47" s="150" t="s">
        <v>10</v>
      </c>
      <c r="D47" s="150"/>
      <c r="E47" s="150"/>
      <c r="F47" s="150"/>
      <c r="G47" s="26">
        <v>0.02</v>
      </c>
      <c r="H47" s="27" t="s">
        <v>11</v>
      </c>
      <c r="I47" s="151">
        <v>1.14435</v>
      </c>
      <c r="J47" s="151"/>
      <c r="K47" s="95">
        <f>I47*G47</f>
        <v>2.2887000000000001E-2</v>
      </c>
      <c r="L47" s="60">
        <f t="shared" si="1"/>
        <v>172.49748804000001</v>
      </c>
    </row>
    <row r="48" spans="1:257" ht="21.75" customHeight="1" thickTop="1" thickBot="1" x14ac:dyDescent="0.25">
      <c r="A48" s="1"/>
      <c r="B48" s="18" t="s">
        <v>45</v>
      </c>
      <c r="C48" s="15" t="s">
        <v>46</v>
      </c>
      <c r="D48" s="15"/>
      <c r="E48" s="15"/>
      <c r="F48" s="15"/>
      <c r="G48" s="15"/>
      <c r="H48" s="15"/>
      <c r="I48" s="15"/>
      <c r="J48" s="15"/>
      <c r="K48" s="25">
        <v>6.0000000000000001E-3</v>
      </c>
      <c r="L48" s="60">
        <f t="shared" si="1"/>
        <v>45.221519999999998</v>
      </c>
    </row>
    <row r="49" spans="1:15" ht="21.75" customHeight="1" thickTop="1" x14ac:dyDescent="0.2">
      <c r="A49" s="1"/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4"/>
    </row>
    <row r="50" spans="1:15" ht="21.75" customHeight="1" x14ac:dyDescent="0.2">
      <c r="A50" s="1"/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7"/>
    </row>
    <row r="51" spans="1:15" ht="12.6" customHeight="1" thickBot="1" x14ac:dyDescent="0.25">
      <c r="A51" s="1"/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60"/>
    </row>
    <row r="52" spans="1:15" ht="21.75" customHeight="1" thickTop="1" thickBot="1" x14ac:dyDescent="0.25">
      <c r="A52" s="1"/>
      <c r="B52" s="107" t="s">
        <v>47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15"/>
    </row>
    <row r="53" spans="1:15" ht="21.75" customHeight="1" thickTop="1" thickBot="1" x14ac:dyDescent="0.25">
      <c r="A53" s="1"/>
      <c r="B53" s="56" t="s">
        <v>28</v>
      </c>
      <c r="C53" s="141" t="s">
        <v>106</v>
      </c>
      <c r="D53" s="141"/>
      <c r="E53" s="141"/>
      <c r="F53" s="141"/>
      <c r="G53" s="141"/>
      <c r="H53" s="141"/>
      <c r="I53" s="141"/>
      <c r="J53" s="141"/>
      <c r="K53" s="141"/>
      <c r="L53" s="28">
        <f>RESUMO!B4*4*22-(L24*0.06)</f>
        <v>9.7848000000000184</v>
      </c>
    </row>
    <row r="54" spans="1:15" ht="21.75" customHeight="1" thickTop="1" thickBot="1" x14ac:dyDescent="0.25">
      <c r="A54" s="1"/>
      <c r="B54" s="56" t="s">
        <v>30</v>
      </c>
      <c r="C54" s="141" t="s">
        <v>48</v>
      </c>
      <c r="D54" s="141"/>
      <c r="E54" s="141"/>
      <c r="F54" s="141"/>
      <c r="G54" s="141"/>
      <c r="H54" s="141"/>
      <c r="I54" s="141"/>
      <c r="J54" s="141"/>
      <c r="K54" s="141"/>
      <c r="L54" s="28">
        <f>RESUMO!B3*22*0.8</f>
        <v>479.42399999999998</v>
      </c>
    </row>
    <row r="55" spans="1:15" ht="21.75" customHeight="1" thickTop="1" thickBot="1" x14ac:dyDescent="0.25">
      <c r="A55" s="1"/>
      <c r="B55" s="56" t="s">
        <v>31</v>
      </c>
      <c r="C55" s="141" t="s">
        <v>101</v>
      </c>
      <c r="D55" s="141"/>
      <c r="E55" s="141"/>
      <c r="F55" s="141"/>
      <c r="G55" s="141"/>
      <c r="H55" s="141"/>
      <c r="I55" s="141"/>
      <c r="J55" s="141"/>
      <c r="K55" s="141"/>
      <c r="L55" s="28">
        <v>87.18</v>
      </c>
    </row>
    <row r="56" spans="1:15" ht="21.75" customHeight="1" thickTop="1" thickBot="1" x14ac:dyDescent="0.25">
      <c r="A56" s="1"/>
      <c r="B56" s="56" t="s">
        <v>32</v>
      </c>
      <c r="C56" s="138" t="s">
        <v>49</v>
      </c>
      <c r="D56" s="138"/>
      <c r="E56" s="138"/>
      <c r="F56" s="138"/>
      <c r="G56" s="138"/>
      <c r="H56" s="138"/>
      <c r="I56" s="138"/>
      <c r="J56" s="138"/>
      <c r="K56" s="138"/>
      <c r="L56" s="50">
        <v>4.82</v>
      </c>
      <c r="O56" s="54"/>
    </row>
    <row r="57" spans="1:15" ht="21.75" customHeight="1" thickTop="1" thickBot="1" x14ac:dyDescent="0.25">
      <c r="A57" s="1"/>
      <c r="B57" s="56" t="s">
        <v>33</v>
      </c>
      <c r="C57" s="141" t="s">
        <v>36</v>
      </c>
      <c r="D57" s="141"/>
      <c r="E57" s="141"/>
      <c r="F57" s="141"/>
      <c r="G57" s="141"/>
      <c r="H57" s="141"/>
      <c r="I57" s="141"/>
      <c r="J57" s="141"/>
      <c r="K57" s="141"/>
      <c r="L57" s="50"/>
      <c r="O57" s="54"/>
    </row>
    <row r="58" spans="1:15" ht="21.75" customHeight="1" thickTop="1" thickBot="1" x14ac:dyDescent="0.25">
      <c r="A58" s="1"/>
      <c r="B58" s="56"/>
      <c r="C58" s="115" t="s">
        <v>50</v>
      </c>
      <c r="D58" s="115"/>
      <c r="E58" s="115"/>
      <c r="F58" s="115"/>
      <c r="G58" s="115"/>
      <c r="H58" s="115"/>
      <c r="I58" s="115"/>
      <c r="J58" s="115"/>
      <c r="K58" s="115"/>
      <c r="L58" s="23">
        <f>SUM(L53:L57)</f>
        <v>581.2088</v>
      </c>
      <c r="O58" s="54"/>
    </row>
    <row r="59" spans="1:15" ht="21.75" customHeight="1" thickTop="1" x14ac:dyDescent="0.2">
      <c r="A59" s="1"/>
      <c r="B59" s="123" t="s">
        <v>102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5"/>
    </row>
    <row r="60" spans="1:15" ht="37.15" customHeight="1" thickBot="1" x14ac:dyDescent="0.25">
      <c r="A60" s="1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7"/>
    </row>
    <row r="61" spans="1:15" ht="21.75" customHeight="1" thickTop="1" thickBot="1" x14ac:dyDescent="0.25">
      <c r="A61" s="1"/>
      <c r="B61" s="115" t="s">
        <v>51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15" ht="21.75" customHeight="1" thickTop="1" thickBot="1" x14ac:dyDescent="0.25">
      <c r="A62" s="1"/>
      <c r="B62" s="36" t="s">
        <v>52</v>
      </c>
      <c r="C62" s="141" t="s">
        <v>103</v>
      </c>
      <c r="D62" s="141"/>
      <c r="E62" s="141"/>
      <c r="F62" s="141"/>
      <c r="G62" s="141"/>
      <c r="H62" s="141"/>
      <c r="I62" s="141"/>
      <c r="J62" s="141"/>
      <c r="K62" s="37">
        <f>K36</f>
        <v>0.27830139149999999</v>
      </c>
      <c r="L62" s="28">
        <f>L36</f>
        <v>2097.5353236241799</v>
      </c>
    </row>
    <row r="63" spans="1:15" ht="21.75" customHeight="1" thickTop="1" thickBot="1" x14ac:dyDescent="0.25">
      <c r="A63" s="1"/>
      <c r="B63" s="36" t="s">
        <v>53</v>
      </c>
      <c r="C63" s="141" t="s">
        <v>54</v>
      </c>
      <c r="D63" s="141"/>
      <c r="E63" s="141"/>
      <c r="F63" s="141"/>
      <c r="G63" s="141"/>
      <c r="H63" s="141"/>
      <c r="I63" s="141"/>
      <c r="J63" s="141"/>
      <c r="K63" s="37">
        <f>K40</f>
        <v>0.36088700000000007</v>
      </c>
      <c r="L63" s="28">
        <f>L40</f>
        <v>2719.9764480400004</v>
      </c>
    </row>
    <row r="64" spans="1:15" ht="21.75" customHeight="1" thickTop="1" thickBot="1" x14ac:dyDescent="0.25">
      <c r="A64" s="1"/>
      <c r="B64" s="36" t="s">
        <v>55</v>
      </c>
      <c r="C64" s="141" t="s">
        <v>56</v>
      </c>
      <c r="D64" s="141"/>
      <c r="E64" s="141"/>
      <c r="F64" s="141"/>
      <c r="G64" s="141"/>
      <c r="H64" s="141"/>
      <c r="I64" s="141"/>
      <c r="J64" s="141"/>
      <c r="K64" s="141"/>
      <c r="L64" s="28">
        <f>L58</f>
        <v>581.2088</v>
      </c>
    </row>
    <row r="65" spans="1:14" ht="21.75" customHeight="1" thickTop="1" thickBot="1" x14ac:dyDescent="0.25">
      <c r="A65" s="1"/>
      <c r="B65" s="56"/>
      <c r="C65" s="115" t="s">
        <v>50</v>
      </c>
      <c r="D65" s="115"/>
      <c r="E65" s="115"/>
      <c r="F65" s="115"/>
      <c r="G65" s="115"/>
      <c r="H65" s="115"/>
      <c r="I65" s="115"/>
      <c r="J65" s="115"/>
      <c r="K65" s="115"/>
      <c r="L65" s="23">
        <f>L62+L63+L64</f>
        <v>5398.7205716641802</v>
      </c>
    </row>
    <row r="66" spans="1:14" s="11" customFormat="1" ht="21.75" customHeight="1" thickTop="1" thickBot="1" x14ac:dyDescent="0.25">
      <c r="A66" s="10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</row>
    <row r="67" spans="1:14" s="11" customFormat="1" ht="21.75" customHeight="1" thickTop="1" thickBot="1" x14ac:dyDescent="0.25">
      <c r="A67" s="10"/>
      <c r="B67" s="107" t="s">
        <v>57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18"/>
    </row>
    <row r="68" spans="1:14" s="11" customFormat="1" ht="21.75" customHeight="1" thickTop="1" thickBot="1" x14ac:dyDescent="0.25">
      <c r="A68" s="10"/>
      <c r="B68" s="73" t="s">
        <v>28</v>
      </c>
      <c r="C68" s="141" t="s">
        <v>58</v>
      </c>
      <c r="D68" s="141"/>
      <c r="E68" s="141"/>
      <c r="F68" s="141"/>
      <c r="G68" s="141"/>
      <c r="H68" s="141"/>
      <c r="I68" s="141"/>
      <c r="J68" s="141"/>
      <c r="K68" s="37">
        <v>4.1999999999999997E-3</v>
      </c>
      <c r="L68" s="22">
        <f>K68*$L$26</f>
        <v>31.655063999999999</v>
      </c>
    </row>
    <row r="69" spans="1:14" s="11" customFormat="1" ht="21.75" customHeight="1" thickTop="1" thickBot="1" x14ac:dyDescent="0.25">
      <c r="A69" s="10"/>
      <c r="B69" s="73" t="s">
        <v>30</v>
      </c>
      <c r="C69" s="141" t="s">
        <v>59</v>
      </c>
      <c r="D69" s="141"/>
      <c r="E69" s="141"/>
      <c r="F69" s="141"/>
      <c r="G69" s="141"/>
      <c r="H69" s="141"/>
      <c r="I69" s="141"/>
      <c r="J69" s="141"/>
      <c r="K69" s="37">
        <f>0.08*K68</f>
        <v>3.3599999999999998E-4</v>
      </c>
      <c r="L69" s="22">
        <f>K69*$L$26</f>
        <v>2.53240512</v>
      </c>
    </row>
    <row r="70" spans="1:14" s="11" customFormat="1" ht="21.75" customHeight="1" thickTop="1" thickBot="1" x14ac:dyDescent="0.25">
      <c r="A70" s="10"/>
      <c r="B70" s="73" t="s">
        <v>31</v>
      </c>
      <c r="C70" s="141" t="s">
        <v>60</v>
      </c>
      <c r="D70" s="141"/>
      <c r="E70" s="141"/>
      <c r="F70" s="141"/>
      <c r="G70" s="141"/>
      <c r="H70" s="141"/>
      <c r="I70" s="141"/>
      <c r="J70" s="141"/>
      <c r="K70" s="37">
        <v>3.8999999999999998E-3</v>
      </c>
      <c r="L70" s="22">
        <f t="shared" ref="L70:L72" si="2">K70*$L$26</f>
        <v>29.393988</v>
      </c>
    </row>
    <row r="71" spans="1:14" s="11" customFormat="1" ht="30" customHeight="1" thickTop="1" thickBot="1" x14ac:dyDescent="0.25">
      <c r="A71" s="10"/>
      <c r="B71" s="73" t="s">
        <v>32</v>
      </c>
      <c r="C71" s="141" t="s">
        <v>61</v>
      </c>
      <c r="D71" s="141"/>
      <c r="E71" s="141"/>
      <c r="F71" s="141"/>
      <c r="G71" s="141"/>
      <c r="H71" s="141"/>
      <c r="I71" s="141"/>
      <c r="J71" s="141"/>
      <c r="K71" s="37">
        <f>$K$40*K70</f>
        <v>1.4074593000000001E-3</v>
      </c>
      <c r="L71" s="22">
        <f t="shared" si="2"/>
        <v>10.607908147356001</v>
      </c>
    </row>
    <row r="72" spans="1:14" s="11" customFormat="1" ht="30" customHeight="1" thickTop="1" thickBot="1" x14ac:dyDescent="0.25">
      <c r="A72" s="10"/>
      <c r="B72" s="73" t="s">
        <v>33</v>
      </c>
      <c r="C72" s="148" t="s">
        <v>124</v>
      </c>
      <c r="D72" s="148"/>
      <c r="E72" s="148"/>
      <c r="F72" s="148"/>
      <c r="G72" s="148"/>
      <c r="H72" s="148"/>
      <c r="I72" s="148"/>
      <c r="J72" s="148"/>
      <c r="K72" s="80">
        <v>0.04</v>
      </c>
      <c r="L72" s="22">
        <f t="shared" si="2"/>
        <v>301.47680000000003</v>
      </c>
    </row>
    <row r="73" spans="1:14" s="11" customFormat="1" ht="21.75" customHeight="1" thickTop="1" thickBot="1" x14ac:dyDescent="0.25">
      <c r="A73" s="10"/>
      <c r="B73" s="107" t="s">
        <v>50</v>
      </c>
      <c r="C73" s="107"/>
      <c r="D73" s="107"/>
      <c r="E73" s="107"/>
      <c r="F73" s="107"/>
      <c r="G73" s="107"/>
      <c r="H73" s="107"/>
      <c r="I73" s="107"/>
      <c r="J73" s="107"/>
      <c r="K73" s="72">
        <f>SUM(K68:K72)</f>
        <v>4.9843459300000004E-2</v>
      </c>
      <c r="L73" s="30">
        <f>SUM(L68:L72)</f>
        <v>375.66616526735606</v>
      </c>
    </row>
    <row r="74" spans="1:14" s="11" customFormat="1" ht="21.75" customHeight="1" thickTop="1" x14ac:dyDescent="0.2">
      <c r="A74" s="10"/>
      <c r="B74" s="123" t="s">
        <v>108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1:14" s="11" customFormat="1" ht="21.75" customHeight="1" x14ac:dyDescent="0.2">
      <c r="A75" s="10"/>
      <c r="B75" s="142"/>
      <c r="C75" s="143"/>
      <c r="D75" s="143"/>
      <c r="E75" s="143"/>
      <c r="F75" s="143"/>
      <c r="G75" s="143"/>
      <c r="H75" s="143"/>
      <c r="I75" s="143"/>
      <c r="J75" s="143"/>
      <c r="K75" s="143"/>
      <c r="L75" s="144"/>
    </row>
    <row r="76" spans="1:14" s="11" customFormat="1" ht="12.6" customHeight="1" thickBot="1" x14ac:dyDescent="0.25">
      <c r="A76" s="10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7"/>
    </row>
    <row r="77" spans="1:14" s="11" customFormat="1" ht="21.75" customHeight="1" thickTop="1" thickBot="1" x14ac:dyDescent="0.25">
      <c r="A77" s="10"/>
      <c r="B77" s="107" t="s">
        <v>105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18"/>
    </row>
    <row r="78" spans="1:14" s="11" customFormat="1" ht="21.75" customHeight="1" thickTop="1" thickBot="1" x14ac:dyDescent="0.25">
      <c r="A78" s="10"/>
      <c r="B78" s="73" t="s">
        <v>28</v>
      </c>
      <c r="C78" s="141" t="s">
        <v>62</v>
      </c>
      <c r="D78" s="141"/>
      <c r="E78" s="141"/>
      <c r="F78" s="141"/>
      <c r="G78" s="141"/>
      <c r="H78" s="141"/>
      <c r="I78" s="141"/>
      <c r="J78" s="141"/>
      <c r="K78" s="80"/>
      <c r="L78" s="22">
        <f t="shared" ref="L78:L82" si="3">K78*$L$26</f>
        <v>0</v>
      </c>
      <c r="M78" s="52"/>
      <c r="N78" s="51"/>
    </row>
    <row r="79" spans="1:14" s="11" customFormat="1" ht="21.75" customHeight="1" thickTop="1" thickBot="1" x14ac:dyDescent="0.25">
      <c r="A79" s="10"/>
      <c r="B79" s="73" t="s">
        <v>30</v>
      </c>
      <c r="C79" s="141" t="s">
        <v>63</v>
      </c>
      <c r="D79" s="141"/>
      <c r="E79" s="141"/>
      <c r="F79" s="141"/>
      <c r="G79" s="141"/>
      <c r="H79" s="141"/>
      <c r="I79" s="141"/>
      <c r="J79" s="141"/>
      <c r="K79" s="37">
        <v>1.0800000000000001E-2</v>
      </c>
      <c r="L79" s="22">
        <f t="shared" si="3"/>
        <v>81.398736</v>
      </c>
    </row>
    <row r="80" spans="1:14" s="11" customFormat="1" ht="21.75" customHeight="1" thickTop="1" thickBot="1" x14ac:dyDescent="0.25">
      <c r="A80" s="10"/>
      <c r="B80" s="73" t="s">
        <v>31</v>
      </c>
      <c r="C80" s="141" t="s">
        <v>64</v>
      </c>
      <c r="D80" s="141"/>
      <c r="E80" s="141"/>
      <c r="F80" s="141"/>
      <c r="G80" s="141"/>
      <c r="H80" s="141"/>
      <c r="I80" s="141"/>
      <c r="J80" s="141"/>
      <c r="K80" s="37">
        <v>2.9999999999999997E-4</v>
      </c>
      <c r="L80" s="22">
        <f t="shared" si="3"/>
        <v>2.2610759999999996</v>
      </c>
    </row>
    <row r="81" spans="1:15" s="11" customFormat="1" ht="21.75" customHeight="1" thickTop="1" thickBot="1" x14ac:dyDescent="0.25">
      <c r="A81" s="10"/>
      <c r="B81" s="73" t="s">
        <v>32</v>
      </c>
      <c r="C81" s="141" t="s">
        <v>65</v>
      </c>
      <c r="D81" s="141"/>
      <c r="E81" s="141"/>
      <c r="F81" s="141"/>
      <c r="G81" s="141"/>
      <c r="H81" s="141"/>
      <c r="I81" s="141"/>
      <c r="J81" s="141"/>
      <c r="K81" s="37">
        <v>2.9999999999999997E-4</v>
      </c>
      <c r="L81" s="22">
        <f t="shared" si="3"/>
        <v>2.2610759999999996</v>
      </c>
    </row>
    <row r="82" spans="1:15" s="11" customFormat="1" ht="21.75" customHeight="1" thickTop="1" thickBot="1" x14ac:dyDescent="0.25">
      <c r="A82" s="10"/>
      <c r="B82" s="73" t="s">
        <v>33</v>
      </c>
      <c r="C82" s="141" t="s">
        <v>66</v>
      </c>
      <c r="D82" s="141"/>
      <c r="E82" s="141"/>
      <c r="F82" s="141"/>
      <c r="G82" s="141"/>
      <c r="H82" s="141"/>
      <c r="I82" s="141"/>
      <c r="J82" s="141"/>
      <c r="K82" s="37">
        <v>2.9999999999999997E-4</v>
      </c>
      <c r="L82" s="22">
        <f t="shared" si="3"/>
        <v>2.2610759999999996</v>
      </c>
    </row>
    <row r="83" spans="1:15" s="11" customFormat="1" ht="21.75" customHeight="1" thickTop="1" thickBot="1" x14ac:dyDescent="0.25">
      <c r="A83" s="10"/>
      <c r="B83" s="73" t="s">
        <v>34</v>
      </c>
      <c r="C83" s="141" t="s">
        <v>36</v>
      </c>
      <c r="D83" s="141"/>
      <c r="E83" s="141"/>
      <c r="F83" s="141"/>
      <c r="G83" s="141"/>
      <c r="H83" s="141"/>
      <c r="I83" s="141"/>
      <c r="J83" s="141"/>
      <c r="K83" s="98">
        <v>0</v>
      </c>
      <c r="L83" s="22">
        <f>K83*$L$26</f>
        <v>0</v>
      </c>
    </row>
    <row r="84" spans="1:15" s="11" customFormat="1" ht="21.75" customHeight="1" thickTop="1" thickBot="1" x14ac:dyDescent="0.25">
      <c r="A84" s="10"/>
      <c r="B84" s="73" t="s">
        <v>35</v>
      </c>
      <c r="C84" s="141" t="s">
        <v>94</v>
      </c>
      <c r="D84" s="141"/>
      <c r="E84" s="141"/>
      <c r="F84" s="141"/>
      <c r="G84" s="141"/>
      <c r="H84" s="141"/>
      <c r="I84" s="141"/>
      <c r="J84" s="141"/>
      <c r="K84" s="80">
        <f>(K78+K79+K80+K81+K82+K83)*K40</f>
        <v>4.222377900000001E-3</v>
      </c>
      <c r="L84" s="22">
        <f>L26*K84</f>
        <v>31.823724442068009</v>
      </c>
    </row>
    <row r="85" spans="1:15" s="11" customFormat="1" ht="21.75" customHeight="1" thickTop="1" thickBot="1" x14ac:dyDescent="0.25">
      <c r="A85" s="10"/>
      <c r="B85" s="149" t="s">
        <v>50</v>
      </c>
      <c r="C85" s="149"/>
      <c r="D85" s="149"/>
      <c r="E85" s="149"/>
      <c r="F85" s="149"/>
      <c r="G85" s="149"/>
      <c r="H85" s="149"/>
      <c r="I85" s="149"/>
      <c r="J85" s="149"/>
      <c r="K85" s="44">
        <f>SUM(K78:K84)</f>
        <v>1.59223779E-2</v>
      </c>
      <c r="L85" s="30">
        <f>L78+L79+L80+L81+L82+L84</f>
        <v>120.00568844206802</v>
      </c>
    </row>
    <row r="86" spans="1:15" s="11" customFormat="1" ht="21.75" customHeight="1" thickTop="1" x14ac:dyDescent="0.2">
      <c r="A86" s="10"/>
      <c r="B86" s="123" t="s">
        <v>104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5"/>
    </row>
    <row r="87" spans="1:15" s="11" customFormat="1" ht="21.75" customHeight="1" thickBot="1" x14ac:dyDescent="0.25">
      <c r="A87" s="10"/>
      <c r="B87" s="142"/>
      <c r="C87" s="143"/>
      <c r="D87" s="143"/>
      <c r="E87" s="143"/>
      <c r="F87" s="143"/>
      <c r="G87" s="143"/>
      <c r="H87" s="143"/>
      <c r="I87" s="143"/>
      <c r="J87" s="143"/>
      <c r="K87" s="143"/>
      <c r="L87" s="144"/>
    </row>
    <row r="88" spans="1:15" ht="21.75" customHeight="1" thickTop="1" thickBot="1" x14ac:dyDescent="0.25">
      <c r="A88" s="1"/>
      <c r="B88" s="107" t="s">
        <v>93</v>
      </c>
      <c r="C88" s="108"/>
      <c r="D88" s="108"/>
      <c r="E88" s="108"/>
      <c r="F88" s="108"/>
      <c r="G88" s="108"/>
      <c r="H88" s="108"/>
      <c r="I88" s="108"/>
      <c r="J88" s="108"/>
      <c r="K88" s="118"/>
      <c r="L88" s="56" t="s">
        <v>67</v>
      </c>
    </row>
    <row r="89" spans="1:15" ht="21.75" customHeight="1" thickTop="1" thickBot="1" x14ac:dyDescent="0.25">
      <c r="A89" s="1"/>
      <c r="B89" s="56" t="s">
        <v>28</v>
      </c>
      <c r="C89" s="138" t="s">
        <v>68</v>
      </c>
      <c r="D89" s="138"/>
      <c r="E89" s="138"/>
      <c r="F89" s="138"/>
      <c r="G89" s="138"/>
      <c r="H89" s="138"/>
      <c r="I89" s="138"/>
      <c r="J89" s="138"/>
      <c r="K89" s="138"/>
      <c r="L89" s="60">
        <v>77.62</v>
      </c>
    </row>
    <row r="90" spans="1:15" ht="21.75" customHeight="1" thickTop="1" thickBot="1" x14ac:dyDescent="0.25">
      <c r="A90" s="1"/>
      <c r="B90" s="115" t="s">
        <v>30</v>
      </c>
      <c r="C90" s="139" t="s">
        <v>36</v>
      </c>
      <c r="D90" s="139"/>
      <c r="E90" s="140" t="s">
        <v>109</v>
      </c>
      <c r="F90" s="140"/>
      <c r="G90" s="140"/>
      <c r="H90" s="140"/>
      <c r="I90" s="140"/>
      <c r="J90" s="140"/>
      <c r="K90" s="140"/>
      <c r="L90" s="60">
        <v>0</v>
      </c>
      <c r="O90" s="61"/>
    </row>
    <row r="91" spans="1:15" ht="21.75" customHeight="1" thickTop="1" thickBot="1" x14ac:dyDescent="0.25">
      <c r="A91" s="1"/>
      <c r="B91" s="115"/>
      <c r="C91" s="139"/>
      <c r="D91" s="139"/>
      <c r="E91" s="140" t="s">
        <v>110</v>
      </c>
      <c r="F91" s="140"/>
      <c r="G91" s="140"/>
      <c r="H91" s="140"/>
      <c r="I91" s="140"/>
      <c r="J91" s="140"/>
      <c r="K91" s="140"/>
      <c r="L91" s="60">
        <v>0</v>
      </c>
      <c r="N91" s="62"/>
      <c r="O91" s="61"/>
    </row>
    <row r="92" spans="1:15" s="11" customFormat="1" ht="21.75" customHeight="1" thickTop="1" thickBot="1" x14ac:dyDescent="0.25">
      <c r="A92" s="10"/>
      <c r="B92" s="107" t="s">
        <v>69</v>
      </c>
      <c r="C92" s="108"/>
      <c r="D92" s="108"/>
      <c r="E92" s="108"/>
      <c r="F92" s="108"/>
      <c r="G92" s="108"/>
      <c r="H92" s="108"/>
      <c r="I92" s="108"/>
      <c r="J92" s="108"/>
      <c r="K92" s="118"/>
      <c r="L92" s="30">
        <f>SUM(L89:L91)</f>
        <v>77.62</v>
      </c>
      <c r="N92" s="62"/>
      <c r="O92" s="61"/>
    </row>
    <row r="93" spans="1:15" s="11" customFormat="1" ht="48.75" customHeight="1" thickTop="1" thickBot="1" x14ac:dyDescent="0.25">
      <c r="A93" s="10"/>
      <c r="B93" s="123" t="s">
        <v>111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5"/>
    </row>
    <row r="94" spans="1:15" s="11" customFormat="1" ht="21.75" customHeight="1" thickTop="1" thickBot="1" x14ac:dyDescent="0.25">
      <c r="A94" s="10"/>
      <c r="B94" s="107" t="s">
        <v>92</v>
      </c>
      <c r="C94" s="108"/>
      <c r="D94" s="108"/>
      <c r="E94" s="108"/>
      <c r="F94" s="108"/>
      <c r="G94" s="108"/>
      <c r="H94" s="108"/>
      <c r="I94" s="108"/>
      <c r="J94" s="108"/>
      <c r="K94" s="118"/>
      <c r="L94" s="56" t="s">
        <v>27</v>
      </c>
    </row>
    <row r="95" spans="1:15" s="11" customFormat="1" ht="21.75" customHeight="1" thickTop="1" thickBot="1" x14ac:dyDescent="0.25">
      <c r="A95" s="10"/>
      <c r="B95" s="56" t="s">
        <v>28</v>
      </c>
      <c r="C95" s="15" t="s">
        <v>12</v>
      </c>
      <c r="D95" s="15"/>
      <c r="E95" s="15"/>
      <c r="F95" s="15"/>
      <c r="G95" s="15"/>
      <c r="H95" s="15"/>
      <c r="I95" s="15"/>
      <c r="J95" s="15"/>
      <c r="K95" s="99">
        <v>3.1899999999999998E-2</v>
      </c>
      <c r="L95" s="22">
        <f>K95*L115</f>
        <v>430.93494436941796</v>
      </c>
    </row>
    <row r="96" spans="1:15" s="11" customFormat="1" ht="21.75" customHeight="1" thickTop="1" thickBot="1" x14ac:dyDescent="0.25">
      <c r="A96" s="10"/>
      <c r="B96" s="56" t="s">
        <v>30</v>
      </c>
      <c r="C96" s="15" t="s">
        <v>13</v>
      </c>
      <c r="D96" s="15"/>
      <c r="E96" s="15"/>
      <c r="F96" s="15"/>
      <c r="G96" s="15"/>
      <c r="H96" s="15"/>
      <c r="I96" s="15"/>
      <c r="J96" s="15"/>
      <c r="K96" s="99">
        <v>0.04</v>
      </c>
      <c r="L96" s="22">
        <f>(L115+L95)*K96</f>
        <v>557.59469478972085</v>
      </c>
    </row>
    <row r="97" spans="1:12" s="11" customFormat="1" ht="21.75" customHeight="1" thickTop="1" thickBot="1" x14ac:dyDescent="0.25">
      <c r="A97" s="10"/>
      <c r="B97" s="115" t="s">
        <v>31</v>
      </c>
      <c r="C97" s="15" t="s">
        <v>14</v>
      </c>
      <c r="D97" s="15"/>
      <c r="E97" s="15"/>
      <c r="F97" s="15"/>
      <c r="G97" s="15"/>
      <c r="H97" s="15"/>
      <c r="I97" s="15"/>
      <c r="J97" s="39" t="s">
        <v>15</v>
      </c>
      <c r="L97" s="38"/>
    </row>
    <row r="98" spans="1:12" s="11" customFormat="1" ht="21.75" customHeight="1" thickTop="1" thickBot="1" x14ac:dyDescent="0.25">
      <c r="A98" s="10"/>
      <c r="B98" s="115"/>
      <c r="C98" s="15"/>
      <c r="D98" s="31" t="s">
        <v>16</v>
      </c>
      <c r="E98" s="31"/>
      <c r="F98" s="31"/>
      <c r="G98" s="15" t="s">
        <v>17</v>
      </c>
      <c r="H98" s="32"/>
      <c r="I98" s="32"/>
      <c r="J98" s="126">
        <f>SUM(K98:K100)</f>
        <v>0.14250000000000002</v>
      </c>
      <c r="K98" s="40">
        <v>1.6500000000000001E-2</v>
      </c>
      <c r="L98" s="46">
        <f>((L115+L95+L96)/(1-J98))*K98</f>
        <v>278.95991144581956</v>
      </c>
    </row>
    <row r="99" spans="1:12" s="11" customFormat="1" ht="21.75" customHeight="1" thickTop="1" thickBot="1" x14ac:dyDescent="0.25">
      <c r="A99" s="10"/>
      <c r="B99" s="115"/>
      <c r="C99" s="15"/>
      <c r="D99" s="15"/>
      <c r="E99" s="15"/>
      <c r="F99" s="15"/>
      <c r="G99" s="15" t="s">
        <v>18</v>
      </c>
      <c r="H99" s="32"/>
      <c r="I99" s="32"/>
      <c r="J99" s="127"/>
      <c r="K99" s="40">
        <v>7.5999999999999998E-2</v>
      </c>
      <c r="L99" s="46">
        <f>((L115+L95+L96)/(1-J98))*K99</f>
        <v>1284.9062587807446</v>
      </c>
    </row>
    <row r="100" spans="1:12" s="11" customFormat="1" ht="21.75" customHeight="1" thickTop="1" thickBot="1" x14ac:dyDescent="0.25">
      <c r="A100" s="10"/>
      <c r="B100" s="115"/>
      <c r="C100" s="31"/>
      <c r="D100" s="31" t="s">
        <v>19</v>
      </c>
      <c r="E100" s="31"/>
      <c r="F100" s="15"/>
      <c r="G100" s="15" t="s">
        <v>20</v>
      </c>
      <c r="H100" s="32"/>
      <c r="I100" s="32"/>
      <c r="J100" s="128"/>
      <c r="K100" s="40">
        <v>0.05</v>
      </c>
      <c r="L100" s="46">
        <f>((L115+L95+L96)/(1-J98))*K100</f>
        <v>845.33306498733202</v>
      </c>
    </row>
    <row r="101" spans="1:12" s="11" customFormat="1" ht="21.75" customHeight="1" thickTop="1" thickBot="1" x14ac:dyDescent="0.25">
      <c r="A101" s="10"/>
      <c r="B101" s="57" t="s">
        <v>76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30">
        <f>L95+L96+L98+L99+L100</f>
        <v>3397.7288743730346</v>
      </c>
    </row>
    <row r="102" spans="1:12" s="11" customFormat="1" ht="37.15" customHeight="1" thickTop="1" thickBot="1" x14ac:dyDescent="0.25">
      <c r="A102" s="10"/>
      <c r="B102" s="129" t="s">
        <v>87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1"/>
    </row>
    <row r="103" spans="1:12" s="11" customFormat="1" ht="21.6" hidden="1" customHeight="1" x14ac:dyDescent="0.2">
      <c r="A103" s="10"/>
      <c r="B103" s="132"/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</row>
    <row r="104" spans="1:12" s="11" customFormat="1" ht="21.6" hidden="1" customHeight="1" x14ac:dyDescent="0.2">
      <c r="A104" s="10"/>
      <c r="B104" s="132"/>
      <c r="C104" s="133"/>
      <c r="D104" s="133"/>
      <c r="E104" s="133"/>
      <c r="F104" s="133"/>
      <c r="G104" s="133"/>
      <c r="H104" s="133"/>
      <c r="I104" s="133"/>
      <c r="J104" s="133"/>
      <c r="K104" s="133"/>
      <c r="L104" s="134"/>
    </row>
    <row r="105" spans="1:12" s="11" customFormat="1" ht="21.6" hidden="1" customHeight="1" x14ac:dyDescent="0.2">
      <c r="A105" s="10"/>
      <c r="B105" s="132"/>
      <c r="C105" s="133"/>
      <c r="D105" s="133"/>
      <c r="E105" s="133"/>
      <c r="F105" s="133"/>
      <c r="G105" s="133"/>
      <c r="H105" s="133"/>
      <c r="I105" s="133"/>
      <c r="J105" s="133"/>
      <c r="K105" s="133"/>
      <c r="L105" s="134"/>
    </row>
    <row r="106" spans="1:12" s="11" customFormat="1" ht="21.6" hidden="1" customHeight="1" x14ac:dyDescent="0.2">
      <c r="A106" s="10"/>
      <c r="B106" s="132"/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</row>
    <row r="107" spans="1:12" ht="21.6" hidden="1" customHeight="1" x14ac:dyDescent="0.2">
      <c r="A107" s="1"/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7"/>
    </row>
    <row r="108" spans="1:12" ht="21.75" customHeight="1" thickTop="1" thickBot="1" x14ac:dyDescent="0.25">
      <c r="A108" s="1"/>
      <c r="B108" s="107" t="s">
        <v>70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18"/>
    </row>
    <row r="109" spans="1:12" ht="21.75" customHeight="1" thickTop="1" thickBot="1" x14ac:dyDescent="0.25">
      <c r="A109" s="1"/>
      <c r="B109" s="119" t="s">
        <v>71</v>
      </c>
      <c r="C109" s="120"/>
      <c r="D109" s="120"/>
      <c r="E109" s="120"/>
      <c r="F109" s="120"/>
      <c r="G109" s="120"/>
      <c r="H109" s="120"/>
      <c r="I109" s="120"/>
      <c r="J109" s="120"/>
      <c r="K109" s="121"/>
      <c r="L109" s="56" t="s">
        <v>67</v>
      </c>
    </row>
    <row r="110" spans="1:12" ht="21.75" customHeight="1" thickTop="1" thickBot="1" x14ac:dyDescent="0.25">
      <c r="A110" s="1"/>
      <c r="B110" s="73" t="s">
        <v>28</v>
      </c>
      <c r="C110" s="109" t="s">
        <v>26</v>
      </c>
      <c r="D110" s="110"/>
      <c r="E110" s="110"/>
      <c r="F110" s="110"/>
      <c r="G110" s="110"/>
      <c r="H110" s="110"/>
      <c r="I110" s="110"/>
      <c r="J110" s="110"/>
      <c r="K110" s="111"/>
      <c r="L110" s="22">
        <f>L26</f>
        <v>7536.92</v>
      </c>
    </row>
    <row r="111" spans="1:12" ht="21.75" customHeight="1" thickTop="1" thickBot="1" x14ac:dyDescent="0.25">
      <c r="A111" s="1"/>
      <c r="B111" s="73" t="s">
        <v>30</v>
      </c>
      <c r="C111" s="122" t="s">
        <v>72</v>
      </c>
      <c r="D111" s="122"/>
      <c r="E111" s="122"/>
      <c r="F111" s="122"/>
      <c r="G111" s="122"/>
      <c r="H111" s="122"/>
      <c r="I111" s="122"/>
      <c r="J111" s="122"/>
      <c r="K111" s="122"/>
      <c r="L111" s="22">
        <f>L65</f>
        <v>5398.7205716641802</v>
      </c>
    </row>
    <row r="112" spans="1:12" ht="21.75" customHeight="1" thickTop="1" thickBot="1" x14ac:dyDescent="0.25">
      <c r="A112" s="1"/>
      <c r="B112" s="73" t="s">
        <v>31</v>
      </c>
      <c r="C112" s="109" t="s">
        <v>73</v>
      </c>
      <c r="D112" s="110"/>
      <c r="E112" s="110"/>
      <c r="F112" s="110"/>
      <c r="G112" s="110"/>
      <c r="H112" s="110"/>
      <c r="I112" s="110"/>
      <c r="J112" s="110"/>
      <c r="K112" s="111"/>
      <c r="L112" s="22">
        <f>L73</f>
        <v>375.66616526735606</v>
      </c>
    </row>
    <row r="113" spans="1:13" ht="21.75" customHeight="1" thickTop="1" thickBot="1" x14ac:dyDescent="0.25">
      <c r="A113" s="1"/>
      <c r="B113" s="73" t="s">
        <v>32</v>
      </c>
      <c r="C113" s="109" t="s">
        <v>74</v>
      </c>
      <c r="D113" s="110"/>
      <c r="E113" s="110"/>
      <c r="F113" s="110"/>
      <c r="G113" s="110"/>
      <c r="H113" s="110"/>
      <c r="I113" s="110"/>
      <c r="J113" s="110"/>
      <c r="K113" s="111"/>
      <c r="L113" s="22">
        <f>L85</f>
        <v>120.00568844206802</v>
      </c>
    </row>
    <row r="114" spans="1:13" ht="21.75" customHeight="1" thickTop="1" thickBot="1" x14ac:dyDescent="0.25">
      <c r="A114" s="1"/>
      <c r="B114" s="73" t="s">
        <v>33</v>
      </c>
      <c r="C114" s="109" t="s">
        <v>97</v>
      </c>
      <c r="D114" s="110"/>
      <c r="E114" s="110"/>
      <c r="F114" s="110"/>
      <c r="G114" s="110"/>
      <c r="H114" s="110"/>
      <c r="I114" s="110"/>
      <c r="J114" s="110"/>
      <c r="K114" s="111"/>
      <c r="L114" s="22">
        <f>L92</f>
        <v>77.62</v>
      </c>
    </row>
    <row r="115" spans="1:13" ht="21.75" customHeight="1" thickTop="1" thickBot="1" x14ac:dyDescent="0.25">
      <c r="A115" s="1"/>
      <c r="B115" s="107" t="s">
        <v>75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30">
        <f>SUM(L110:L114)</f>
        <v>13508.932425373605</v>
      </c>
      <c r="M115" s="12"/>
    </row>
    <row r="116" spans="1:13" s="11" customFormat="1" ht="21.75" customHeight="1" thickTop="1" thickBot="1" x14ac:dyDescent="0.25">
      <c r="A116" s="10"/>
      <c r="B116" s="56" t="s">
        <v>34</v>
      </c>
      <c r="C116" s="109" t="s">
        <v>96</v>
      </c>
      <c r="D116" s="110"/>
      <c r="E116" s="110"/>
      <c r="F116" s="110"/>
      <c r="G116" s="110"/>
      <c r="H116" s="110"/>
      <c r="I116" s="110"/>
      <c r="J116" s="110"/>
      <c r="K116" s="111"/>
      <c r="L116" s="22">
        <f>L101</f>
        <v>3397.7288743730346</v>
      </c>
    </row>
    <row r="117" spans="1:13" ht="34.15" customHeight="1" thickTop="1" thickBot="1" x14ac:dyDescent="0.25">
      <c r="A117" s="1"/>
      <c r="B117" s="112" t="s">
        <v>77</v>
      </c>
      <c r="C117" s="113"/>
      <c r="D117" s="113"/>
      <c r="E117" s="113"/>
      <c r="F117" s="113"/>
      <c r="G117" s="113"/>
      <c r="H117" s="113"/>
      <c r="I117" s="113"/>
      <c r="J117" s="113"/>
      <c r="K117" s="114"/>
      <c r="L117" s="41">
        <f>SUM(L115+L116)</f>
        <v>16906.66129974664</v>
      </c>
    </row>
    <row r="118" spans="1:13" ht="21.75" customHeight="1" thickTop="1" thickBot="1" x14ac:dyDescent="0.25">
      <c r="A118" s="1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5"/>
    </row>
    <row r="119" spans="1:13" ht="21.75" customHeight="1" thickTop="1" thickBot="1" x14ac:dyDescent="0.25">
      <c r="A119" s="1"/>
      <c r="B119" s="115" t="s">
        <v>78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1:13" ht="45" customHeight="1" thickTop="1" thickBot="1" x14ac:dyDescent="0.25">
      <c r="A120" s="1"/>
      <c r="B120" s="116" t="s">
        <v>79</v>
      </c>
      <c r="C120" s="116"/>
      <c r="D120" s="116"/>
      <c r="E120" s="117" t="s">
        <v>80</v>
      </c>
      <c r="F120" s="117"/>
      <c r="G120" s="117" t="s">
        <v>81</v>
      </c>
      <c r="H120" s="117"/>
      <c r="I120" s="117" t="s">
        <v>82</v>
      </c>
      <c r="J120" s="117"/>
      <c r="K120" s="58" t="s">
        <v>83</v>
      </c>
      <c r="L120" s="33" t="s">
        <v>84</v>
      </c>
    </row>
    <row r="121" spans="1:13" ht="21.75" customHeight="1" thickTop="1" thickBot="1" x14ac:dyDescent="0.25">
      <c r="A121" s="1"/>
      <c r="B121" s="103" t="s">
        <v>112</v>
      </c>
      <c r="C121" s="103"/>
      <c r="D121" s="103"/>
      <c r="E121" s="104">
        <f>L117</f>
        <v>16906.66129974664</v>
      </c>
      <c r="F121" s="104"/>
      <c r="G121" s="105">
        <v>1</v>
      </c>
      <c r="H121" s="105"/>
      <c r="I121" s="104">
        <f>G121*E121</f>
        <v>16906.66129974664</v>
      </c>
      <c r="J121" s="104"/>
      <c r="K121" s="59">
        <v>4</v>
      </c>
      <c r="L121" s="34">
        <f>ROUND(K121*I121,2)</f>
        <v>67626.649999999994</v>
      </c>
    </row>
    <row r="122" spans="1:13" ht="36.75" customHeight="1" thickTop="1" thickBot="1" x14ac:dyDescent="0.25">
      <c r="A122" s="1"/>
      <c r="B122" s="106" t="s">
        <v>85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42">
        <f>L121</f>
        <v>67626.649999999994</v>
      </c>
    </row>
    <row r="123" spans="1:13" ht="36.75" customHeight="1" thickTop="1" thickBot="1" x14ac:dyDescent="0.25">
      <c r="A123" s="1"/>
      <c r="B123" s="107" t="s">
        <v>88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47">
        <f>L122*12</f>
        <v>811519.79999999993</v>
      </c>
    </row>
    <row r="124" spans="1:13" ht="16.5" thickTop="1" x14ac:dyDescent="0.2">
      <c r="L124" s="48" t="s">
        <v>95</v>
      </c>
      <c r="M124" s="49">
        <f>L117/L26</f>
        <v>2.2431790837300434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B73:J73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topLeftCell="G4" workbookViewId="0">
      <selection activeCell="O9" sqref="O9"/>
    </sheetView>
  </sheetViews>
  <sheetFormatPr defaultRowHeight="12.75" x14ac:dyDescent="0.2"/>
  <cols>
    <col min="1" max="1" width="19.42578125" style="53" customWidth="1"/>
    <col min="2" max="2" width="50.5703125" style="53" customWidth="1"/>
    <col min="3" max="3" width="13.7109375" style="90" customWidth="1"/>
    <col min="4" max="6" width="12.7109375" style="53" customWidth="1"/>
    <col min="7" max="15" width="12.7109375" customWidth="1"/>
  </cols>
  <sheetData>
    <row r="1" spans="1:15" ht="18" x14ac:dyDescent="0.25">
      <c r="A1" s="218" t="s">
        <v>133</v>
      </c>
      <c r="B1" s="219"/>
      <c r="C1" s="219"/>
      <c r="D1" s="219"/>
      <c r="E1" s="219"/>
      <c r="F1" s="219"/>
    </row>
    <row r="2" spans="1:15" ht="15.75" x14ac:dyDescent="0.2">
      <c r="A2" s="220" t="s">
        <v>134</v>
      </c>
      <c r="B2" s="221"/>
      <c r="C2" s="221"/>
      <c r="D2" s="221"/>
      <c r="E2" s="221"/>
      <c r="F2" s="221"/>
    </row>
    <row r="3" spans="1:15" ht="45" customHeight="1" x14ac:dyDescent="0.2">
      <c r="A3" s="209" t="s">
        <v>135</v>
      </c>
      <c r="B3" s="209" t="s">
        <v>136</v>
      </c>
      <c r="C3" s="207" t="s">
        <v>137</v>
      </c>
      <c r="D3" s="204" t="s">
        <v>149</v>
      </c>
      <c r="E3" s="205"/>
      <c r="F3" s="206"/>
      <c r="G3" s="204" t="s">
        <v>150</v>
      </c>
      <c r="H3" s="205"/>
      <c r="I3" s="206"/>
      <c r="J3" s="204" t="s">
        <v>151</v>
      </c>
      <c r="K3" s="205"/>
      <c r="L3" s="206"/>
      <c r="M3" s="204" t="s">
        <v>152</v>
      </c>
      <c r="N3" s="205"/>
      <c r="O3" s="206"/>
    </row>
    <row r="4" spans="1:15" ht="30" x14ac:dyDescent="0.2">
      <c r="A4" s="210"/>
      <c r="B4" s="210"/>
      <c r="C4" s="208"/>
      <c r="D4" s="83" t="s">
        <v>138</v>
      </c>
      <c r="E4" s="83" t="s">
        <v>139</v>
      </c>
      <c r="F4" s="83" t="s">
        <v>140</v>
      </c>
      <c r="G4" s="83" t="s">
        <v>138</v>
      </c>
      <c r="H4" s="83" t="s">
        <v>139</v>
      </c>
      <c r="I4" s="83" t="s">
        <v>140</v>
      </c>
      <c r="J4" s="83" t="s">
        <v>138</v>
      </c>
      <c r="K4" s="83" t="s">
        <v>139</v>
      </c>
      <c r="L4" s="83" t="s">
        <v>140</v>
      </c>
      <c r="M4" s="83" t="s">
        <v>138</v>
      </c>
      <c r="N4" s="83" t="s">
        <v>139</v>
      </c>
      <c r="O4" s="83" t="s">
        <v>140</v>
      </c>
    </row>
    <row r="5" spans="1:15" ht="25.5" x14ac:dyDescent="0.2">
      <c r="A5" s="212" t="s">
        <v>146</v>
      </c>
      <c r="B5" s="84" t="s">
        <v>141</v>
      </c>
      <c r="C5" s="85">
        <v>2</v>
      </c>
      <c r="D5" s="86">
        <v>79.900000000000006</v>
      </c>
      <c r="E5" s="86">
        <f>D5*C5</f>
        <v>159.80000000000001</v>
      </c>
      <c r="F5" s="86">
        <f>E5/12</f>
        <v>13.316666666666668</v>
      </c>
      <c r="G5" s="86">
        <v>129.9</v>
      </c>
      <c r="H5" s="86">
        <f>G5*C5</f>
        <v>259.8</v>
      </c>
      <c r="I5" s="86">
        <f>H5/12</f>
        <v>21.650000000000002</v>
      </c>
      <c r="J5" s="86">
        <v>70</v>
      </c>
      <c r="K5" s="86">
        <f>J5*C5</f>
        <v>140</v>
      </c>
      <c r="L5" s="86">
        <f>K5/12</f>
        <v>11.666666666666666</v>
      </c>
      <c r="M5" s="94">
        <f>MEDIAN(D5,G5,J5)</f>
        <v>79.900000000000006</v>
      </c>
      <c r="N5" s="94">
        <f>M5*C5</f>
        <v>159.80000000000001</v>
      </c>
      <c r="O5" s="94">
        <f>N5/12</f>
        <v>13.316666666666668</v>
      </c>
    </row>
    <row r="6" spans="1:15" ht="51" x14ac:dyDescent="0.2">
      <c r="A6" s="213"/>
      <c r="B6" s="84" t="s">
        <v>147</v>
      </c>
      <c r="C6" s="85">
        <v>3</v>
      </c>
      <c r="D6" s="86">
        <v>75.900000000000006</v>
      </c>
      <c r="E6" s="86">
        <f>D6*C6</f>
        <v>227.70000000000002</v>
      </c>
      <c r="F6" s="86">
        <f>E6/12</f>
        <v>18.975000000000001</v>
      </c>
      <c r="G6" s="86">
        <v>109.9</v>
      </c>
      <c r="H6" s="86">
        <f t="shared" ref="H6:H8" si="0">G6*C6</f>
        <v>329.70000000000005</v>
      </c>
      <c r="I6" s="86">
        <f>H6/12</f>
        <v>27.475000000000005</v>
      </c>
      <c r="J6" s="86">
        <v>50</v>
      </c>
      <c r="K6" s="86">
        <f t="shared" ref="K6:K8" si="1">J6*C6</f>
        <v>150</v>
      </c>
      <c r="L6" s="86">
        <f>K6/12</f>
        <v>12.5</v>
      </c>
      <c r="M6" s="94">
        <f t="shared" ref="M6:M8" si="2">MEDIAN(D6,G6,J6)</f>
        <v>75.900000000000006</v>
      </c>
      <c r="N6" s="94">
        <f t="shared" ref="N6:N8" si="3">M6*C6</f>
        <v>227.70000000000002</v>
      </c>
      <c r="O6" s="94">
        <f>N6/12</f>
        <v>18.975000000000001</v>
      </c>
    </row>
    <row r="7" spans="1:15" ht="38.25" x14ac:dyDescent="0.2">
      <c r="A7" s="213"/>
      <c r="B7" s="88" t="s">
        <v>142</v>
      </c>
      <c r="C7" s="89">
        <v>2</v>
      </c>
      <c r="D7" s="86">
        <v>235.4</v>
      </c>
      <c r="E7" s="86">
        <f>D7*C7</f>
        <v>470.8</v>
      </c>
      <c r="F7" s="86">
        <f>E7/12</f>
        <v>39.233333333333334</v>
      </c>
      <c r="G7" s="86">
        <v>199</v>
      </c>
      <c r="H7" s="86">
        <f t="shared" si="0"/>
        <v>398</v>
      </c>
      <c r="I7" s="86">
        <f>H7/12</f>
        <v>33.166666666666664</v>
      </c>
      <c r="J7" s="86">
        <v>130</v>
      </c>
      <c r="K7" s="86">
        <f t="shared" si="1"/>
        <v>260</v>
      </c>
      <c r="L7" s="86">
        <f>K7/12</f>
        <v>21.666666666666668</v>
      </c>
      <c r="M7" s="94">
        <f t="shared" si="2"/>
        <v>199</v>
      </c>
      <c r="N7" s="94">
        <f t="shared" si="3"/>
        <v>398</v>
      </c>
      <c r="O7" s="94">
        <f>N7/12</f>
        <v>33.166666666666664</v>
      </c>
    </row>
    <row r="8" spans="1:15" ht="51" x14ac:dyDescent="0.2">
      <c r="A8" s="214"/>
      <c r="B8" s="84" t="s">
        <v>143</v>
      </c>
      <c r="C8" s="85">
        <v>1</v>
      </c>
      <c r="D8" s="86">
        <v>145.9</v>
      </c>
      <c r="E8" s="86">
        <f>D8*C8</f>
        <v>145.9</v>
      </c>
      <c r="F8" s="86">
        <f>E8/12</f>
        <v>12.158333333333333</v>
      </c>
      <c r="G8" s="86">
        <v>95</v>
      </c>
      <c r="H8" s="86">
        <f t="shared" si="0"/>
        <v>95</v>
      </c>
      <c r="I8" s="86">
        <f>H8/12</f>
        <v>7.916666666666667</v>
      </c>
      <c r="J8" s="86">
        <v>150</v>
      </c>
      <c r="K8" s="86">
        <f t="shared" si="1"/>
        <v>150</v>
      </c>
      <c r="L8" s="86">
        <f>K8/12</f>
        <v>12.5</v>
      </c>
      <c r="M8" s="94">
        <f t="shared" si="2"/>
        <v>145.9</v>
      </c>
      <c r="N8" s="94">
        <f t="shared" si="3"/>
        <v>145.9</v>
      </c>
      <c r="O8" s="94">
        <f>N8/12</f>
        <v>12.158333333333333</v>
      </c>
    </row>
    <row r="9" spans="1:15" x14ac:dyDescent="0.2">
      <c r="A9" s="215" t="s">
        <v>50</v>
      </c>
      <c r="B9" s="216"/>
      <c r="C9" s="217"/>
      <c r="D9" s="87"/>
      <c r="E9" s="87"/>
      <c r="F9" s="87">
        <f>SUM(F5:F8)</f>
        <v>83.683333333333337</v>
      </c>
      <c r="G9" s="87"/>
      <c r="H9" s="87"/>
      <c r="I9" s="87">
        <f>SUM(I5:I8)</f>
        <v>90.208333333333343</v>
      </c>
      <c r="J9" s="87"/>
      <c r="K9" s="87"/>
      <c r="L9" s="87">
        <f>SUM(L5:L8)</f>
        <v>58.333333333333329</v>
      </c>
      <c r="M9" s="87"/>
      <c r="N9" s="87"/>
      <c r="O9" s="87">
        <f>SUM(O5:O8)</f>
        <v>77.616666666666674</v>
      </c>
    </row>
    <row r="11" spans="1:15" ht="15" x14ac:dyDescent="0.25">
      <c r="A11" s="222" t="s">
        <v>144</v>
      </c>
      <c r="B11" s="222"/>
      <c r="C11" s="222"/>
      <c r="F11" s="91"/>
    </row>
    <row r="12" spans="1:15" x14ac:dyDescent="0.2">
      <c r="A12" s="223"/>
      <c r="B12" s="223"/>
      <c r="C12" s="223"/>
      <c r="D12" s="223"/>
      <c r="E12" s="223"/>
      <c r="F12" s="223"/>
    </row>
    <row r="13" spans="1:15" x14ac:dyDescent="0.2">
      <c r="A13" s="211" t="s">
        <v>145</v>
      </c>
      <c r="B13" s="211"/>
      <c r="C13" s="211"/>
      <c r="D13" s="211"/>
      <c r="E13" s="211"/>
      <c r="F13" s="211"/>
    </row>
    <row r="14" spans="1:15" ht="15" x14ac:dyDescent="0.25">
      <c r="C14" s="92"/>
    </row>
    <row r="20" spans="3:3" ht="15" x14ac:dyDescent="0.25">
      <c r="C20" s="93"/>
    </row>
    <row r="21" spans="3:3" ht="15" x14ac:dyDescent="0.25">
      <c r="C21" s="93"/>
    </row>
  </sheetData>
  <mergeCells count="14">
    <mergeCell ref="A13:F13"/>
    <mergeCell ref="A5:A8"/>
    <mergeCell ref="A9:C9"/>
    <mergeCell ref="A1:F1"/>
    <mergeCell ref="A2:F2"/>
    <mergeCell ref="D3:F3"/>
    <mergeCell ref="A11:C11"/>
    <mergeCell ref="A12:F12"/>
    <mergeCell ref="A3:A4"/>
    <mergeCell ref="G3:I3"/>
    <mergeCell ref="J3:L3"/>
    <mergeCell ref="M3:O3"/>
    <mergeCell ref="C3:C4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CONSOLIDAÇÃO</vt:lpstr>
      <vt:lpstr>RESUMO</vt:lpstr>
      <vt:lpstr>Ass. Dir.</vt:lpstr>
      <vt:lpstr>UNIFORME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Amanda Gonçalves Staino</cp:lastModifiedBy>
  <cp:revision>11</cp:revision>
  <cp:lastPrinted>2017-04-03T15:42:07Z</cp:lastPrinted>
  <dcterms:created xsi:type="dcterms:W3CDTF">2017-04-19T09:28:32Z</dcterms:created>
  <dcterms:modified xsi:type="dcterms:W3CDTF">2024-03-25T20:32:50Z</dcterms:modified>
  <dc:language>pt-BR</dc:language>
</cp:coreProperties>
</file>