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srv31\DPTO\COMPRAS\AMANDA\2024\transparencia\"/>
    </mc:Choice>
  </mc:AlternateContent>
  <xr:revisionPtr revIDLastSave="0" documentId="8_{29E042BF-DB53-47E2-9F20-8D4F06E376EC}" xr6:coauthVersionLast="47" xr6:coauthVersionMax="47" xr10:uidLastSave="{00000000-0000-0000-0000-000000000000}"/>
  <bookViews>
    <workbookView xWindow="-26460" yWindow="2160" windowWidth="25635" windowHeight="14040" xr2:uid="{C95CFAA9-5239-436C-AE72-C998E906AF2D}"/>
  </bookViews>
  <sheets>
    <sheet name="Resumo" sheetId="6" r:id="rId1"/>
    <sheet name="Orçamento " sheetId="1" r:id="rId2"/>
    <sheet name="MC" sheetId="11" r:id="rId3"/>
    <sheet name="BDI" sheetId="5" r:id="rId4"/>
    <sheet name="CPU" sheetId="3" r:id="rId5"/>
    <sheet name="COT." sheetId="4" r:id="rId6"/>
    <sheet name="CRON." sheetId="2" r:id="rId7"/>
    <sheet name="CURVA ABC" sheetId="17" r:id="rId8"/>
  </sheets>
  <externalReferences>
    <externalReference r:id="rId9"/>
    <externalReference r:id="rId10"/>
    <externalReference r:id="rId11"/>
    <externalReference r:id="rId12"/>
    <externalReference r:id="rId13"/>
    <externalReference r:id="rId14"/>
  </externalReferences>
  <definedNames>
    <definedName name="_xlnm._FilterDatabase" localSheetId="4" hidden="1">CPU!$D$1:$D$335</definedName>
    <definedName name="_xlnm._FilterDatabase" localSheetId="1" hidden="1">'Orçamento '!$B$1:$B$327</definedName>
    <definedName name="_xlnm.Print_Area" localSheetId="3">BDI!$A$1:$AA$25</definedName>
    <definedName name="_xlnm.Print_Area" localSheetId="5">'COT.'!$A$1:$E$337</definedName>
    <definedName name="_xlnm.Print_Area" localSheetId="6">'CRON.'!$A$1:$J$112</definedName>
    <definedName name="_xlnm.Print_Area" localSheetId="7">'CURVA ABC'!$A$1:$K$266</definedName>
    <definedName name="_xlnm.Print_Area" localSheetId="2">MC!$A$1:$J$584</definedName>
    <definedName name="_xlnm.Print_Area" localSheetId="1">'Orçamento '!$A$1:$J$323</definedName>
    <definedName name="_xlnm.Print_Area" localSheetId="0">Resumo!$A$1:$E$64</definedName>
    <definedName name="IMAGEM">INDEX([1]Imagens!$B$1:$B$7,MATCH([1]Resumo!$B$3,[1]Imagens!$A$1:$A$7,0))</definedName>
    <definedName name="IMAGEM_PREFEITURA">INDEX([1]Imagens!$H$17:$H$106,MATCH([1]Resumo!$B$2,[1]Imagens!$G$17:$G$106,0))</definedName>
    <definedName name="j">INDEX([2]Imagens!$H$17:$H$106,MATCH([2]Resumo!$B$2,[2]Imagens!$G$17:$G$106,0))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5" i="17" l="1"/>
  <c r="I12" i="17" s="1"/>
  <c r="F23" i="1"/>
  <c r="I23" i="1" s="1"/>
  <c r="I22" i="1"/>
  <c r="B66" i="2"/>
  <c r="B63" i="2"/>
  <c r="J66" i="2"/>
  <c r="J63" i="2"/>
  <c r="B5" i="1"/>
  <c r="I16" i="1"/>
  <c r="I17" i="1"/>
  <c r="I18" i="1"/>
  <c r="I19" i="1"/>
  <c r="I20" i="1"/>
  <c r="I21" i="1"/>
  <c r="I63" i="1"/>
  <c r="I68" i="1"/>
  <c r="I70" i="1"/>
  <c r="I74" i="1"/>
  <c r="I75" i="1"/>
  <c r="I76" i="1"/>
  <c r="I77" i="1"/>
  <c r="I78" i="1"/>
  <c r="I80" i="1"/>
  <c r="I73" i="1"/>
  <c r="I87" i="1"/>
  <c r="I88" i="1"/>
  <c r="I90" i="1"/>
  <c r="I91" i="1"/>
  <c r="I95" i="1"/>
  <c r="I96" i="1"/>
  <c r="I97" i="1"/>
  <c r="I99" i="1"/>
  <c r="I102" i="1"/>
  <c r="I105" i="1"/>
  <c r="I106" i="1"/>
  <c r="I107" i="1"/>
  <c r="I108" i="1"/>
  <c r="I109" i="1"/>
  <c r="I110" i="1"/>
  <c r="I111" i="1"/>
  <c r="I112" i="1"/>
  <c r="I113" i="1"/>
  <c r="I114" i="1"/>
  <c r="I115" i="1"/>
  <c r="I118" i="1"/>
  <c r="I121" i="1"/>
  <c r="I122" i="1"/>
  <c r="I123" i="1"/>
  <c r="I131" i="1"/>
  <c r="I135" i="1"/>
  <c r="I136" i="1"/>
  <c r="I137" i="1"/>
  <c r="I139" i="1"/>
  <c r="I140" i="1"/>
  <c r="I143" i="1"/>
  <c r="I144" i="1"/>
  <c r="I145" i="1"/>
  <c r="I146" i="1"/>
  <c r="I147" i="1"/>
  <c r="I148" i="1"/>
  <c r="I142" i="1"/>
  <c r="I156" i="1"/>
  <c r="I159" i="1"/>
  <c r="I152" i="1"/>
  <c r="I153" i="1"/>
  <c r="I154" i="1"/>
  <c r="I162" i="1"/>
  <c r="I163" i="1"/>
  <c r="I164" i="1"/>
  <c r="I161" i="1"/>
  <c r="I167" i="1"/>
  <c r="I168" i="1"/>
  <c r="I169" i="1"/>
  <c r="I170" i="1"/>
  <c r="I166" i="1"/>
  <c r="I179" i="1"/>
  <c r="I180" i="1"/>
  <c r="I182" i="1"/>
  <c r="I190" i="1"/>
  <c r="I193" i="1"/>
  <c r="I195" i="1"/>
  <c r="I196" i="1"/>
  <c r="I197" i="1"/>
  <c r="I198" i="1"/>
  <c r="I199" i="1"/>
  <c r="I200" i="1"/>
  <c r="I201" i="1"/>
  <c r="I202" i="1"/>
  <c r="I188" i="1"/>
  <c r="I207" i="1"/>
  <c r="I206" i="1"/>
  <c r="I210" i="1"/>
  <c r="I215" i="1"/>
  <c r="I216" i="1"/>
  <c r="I217" i="1"/>
  <c r="I218" i="1"/>
  <c r="I220" i="1"/>
  <c r="I221" i="1"/>
  <c r="I223" i="1"/>
  <c r="I226" i="1"/>
  <c r="I229" i="1"/>
  <c r="I230" i="1"/>
  <c r="I231" i="1"/>
  <c r="I232" i="1"/>
  <c r="I233" i="1"/>
  <c r="I234" i="1"/>
  <c r="I237" i="1"/>
  <c r="I238" i="1"/>
  <c r="I243" i="1"/>
  <c r="I247" i="1"/>
  <c r="I249" i="1"/>
  <c r="I250" i="1"/>
  <c r="I246" i="1"/>
  <c r="I274" i="1"/>
  <c r="I319" i="1"/>
  <c r="I55" i="17" l="1"/>
  <c r="I256" i="17"/>
  <c r="I46" i="17"/>
  <c r="I168" i="17"/>
  <c r="I263" i="17"/>
  <c r="I120" i="17"/>
  <c r="I152" i="17"/>
  <c r="I92" i="17"/>
  <c r="I40" i="17"/>
  <c r="I94" i="17"/>
  <c r="I141" i="17"/>
  <c r="I210" i="17"/>
  <c r="I225" i="17"/>
  <c r="I233" i="17"/>
  <c r="I25" i="17"/>
  <c r="I165" i="17"/>
  <c r="I134" i="17"/>
  <c r="I177" i="17"/>
  <c r="I252" i="17"/>
  <c r="I19" i="17"/>
  <c r="I193" i="17"/>
  <c r="I136" i="17"/>
  <c r="I9" i="17"/>
  <c r="I80" i="17"/>
  <c r="I192" i="17"/>
  <c r="I243" i="17"/>
  <c r="I200" i="17"/>
  <c r="I37" i="17"/>
  <c r="I199" i="17"/>
  <c r="I35" i="17"/>
  <c r="I247" i="17"/>
  <c r="I224" i="17"/>
  <c r="I166" i="17"/>
  <c r="I163" i="17"/>
  <c r="I42" i="17"/>
  <c r="I45" i="17"/>
  <c r="I60" i="17"/>
  <c r="I161" i="17"/>
  <c r="I207" i="17"/>
  <c r="I76" i="17"/>
  <c r="I68" i="17"/>
  <c r="I14" i="17"/>
  <c r="I150" i="17"/>
  <c r="I121" i="17"/>
  <c r="I189" i="17"/>
  <c r="I91" i="17"/>
  <c r="I87" i="17"/>
  <c r="I217" i="17"/>
  <c r="I205" i="17"/>
  <c r="I97" i="17"/>
  <c r="I96" i="17"/>
  <c r="I213" i="17"/>
  <c r="I145" i="17"/>
  <c r="I57" i="17"/>
  <c r="I124" i="17"/>
  <c r="I21" i="17"/>
  <c r="I230" i="17"/>
  <c r="I110" i="17"/>
  <c r="I181" i="17"/>
  <c r="I88" i="17"/>
  <c r="I201" i="17"/>
  <c r="I186" i="17"/>
  <c r="I184" i="17"/>
  <c r="I62" i="17"/>
  <c r="I61" i="17"/>
  <c r="I31" i="17"/>
  <c r="I79" i="17"/>
  <c r="I83" i="17"/>
  <c r="I133" i="17"/>
  <c r="I135" i="17"/>
  <c r="I129" i="17"/>
  <c r="I238" i="17"/>
  <c r="I229" i="17"/>
  <c r="I206" i="17"/>
  <c r="I6" i="17"/>
  <c r="J6" i="17" s="1"/>
  <c r="I89" i="17"/>
  <c r="I17" i="17"/>
  <c r="I125" i="17"/>
  <c r="I38" i="17"/>
  <c r="I20" i="17"/>
  <c r="I123" i="17"/>
  <c r="I159" i="17"/>
  <c r="I245" i="17"/>
  <c r="I140" i="17"/>
  <c r="I176" i="17"/>
  <c r="I70" i="17"/>
  <c r="I69" i="17"/>
  <c r="I75" i="17"/>
  <c r="I182" i="17"/>
  <c r="I108" i="17"/>
  <c r="I157" i="17"/>
  <c r="I64" i="17"/>
  <c r="I246" i="17"/>
  <c r="I66" i="17"/>
  <c r="I259" i="17"/>
  <c r="I244" i="17"/>
  <c r="I235" i="17"/>
  <c r="I73" i="17"/>
  <c r="I27" i="17"/>
  <c r="I52" i="17"/>
  <c r="I204" i="17"/>
  <c r="I115" i="17"/>
  <c r="I237" i="17"/>
  <c r="I51" i="17"/>
  <c r="I36" i="17"/>
  <c r="I211" i="17"/>
  <c r="I234" i="17"/>
  <c r="I218" i="17"/>
  <c r="I116" i="17"/>
  <c r="I39" i="17"/>
  <c r="I156" i="17"/>
  <c r="I74" i="17"/>
  <c r="I239" i="17"/>
  <c r="I28" i="17"/>
  <c r="I260" i="17"/>
  <c r="I202" i="17"/>
  <c r="I146" i="17"/>
  <c r="I231" i="17"/>
  <c r="I250" i="17"/>
  <c r="I137" i="17"/>
  <c r="I154" i="17"/>
  <c r="I99" i="17"/>
  <c r="I195" i="17"/>
  <c r="I109" i="17"/>
  <c r="I215" i="17"/>
  <c r="I138" i="17"/>
  <c r="I221" i="17"/>
  <c r="I188" i="17"/>
  <c r="I16" i="17"/>
  <c r="I65" i="17"/>
  <c r="I34" i="17"/>
  <c r="I72" i="17"/>
  <c r="I131" i="17"/>
  <c r="I144" i="17"/>
  <c r="I139" i="17"/>
  <c r="I128" i="17"/>
  <c r="I15" i="17"/>
  <c r="I223" i="17"/>
  <c r="I11" i="17"/>
  <c r="I147" i="17"/>
  <c r="I126" i="17"/>
  <c r="I13" i="17"/>
  <c r="I232" i="17"/>
  <c r="I48" i="17"/>
  <c r="I174" i="17"/>
  <c r="I198" i="17"/>
  <c r="I196" i="17"/>
  <c r="I227" i="17"/>
  <c r="I190" i="17"/>
  <c r="I102" i="17"/>
  <c r="I183" i="17"/>
  <c r="I49" i="17"/>
  <c r="I10" i="17"/>
  <c r="I118" i="17"/>
  <c r="I226" i="17"/>
  <c r="I50" i="17"/>
  <c r="I262" i="17"/>
  <c r="I236" i="17"/>
  <c r="I160" i="17"/>
  <c r="I261" i="17"/>
  <c r="I185" i="17"/>
  <c r="I191" i="17"/>
  <c r="I106" i="17"/>
  <c r="I95" i="17"/>
  <c r="I43" i="17"/>
  <c r="I214" i="17"/>
  <c r="I187" i="17"/>
  <c r="I241" i="17"/>
  <c r="I251" i="17"/>
  <c r="I23" i="17"/>
  <c r="I98" i="17"/>
  <c r="I153" i="17"/>
  <c r="I212" i="17"/>
  <c r="I248" i="17"/>
  <c r="I100" i="17"/>
  <c r="I32" i="17"/>
  <c r="I63" i="17"/>
  <c r="I209" i="17"/>
  <c r="I82" i="17"/>
  <c r="I167" i="17"/>
  <c r="I162" i="17"/>
  <c r="I59" i="17"/>
  <c r="I149" i="17"/>
  <c r="I171" i="17"/>
  <c r="I228" i="17"/>
  <c r="I18" i="17"/>
  <c r="I112" i="17"/>
  <c r="I24" i="17"/>
  <c r="I58" i="17"/>
  <c r="I103" i="17"/>
  <c r="I158" i="17"/>
  <c r="I164" i="17"/>
  <c r="I44" i="17"/>
  <c r="I53" i="17"/>
  <c r="I29" i="17"/>
  <c r="I30" i="17"/>
  <c r="I77" i="17"/>
  <c r="I127" i="17"/>
  <c r="I132" i="17"/>
  <c r="I148" i="17"/>
  <c r="I22" i="17"/>
  <c r="I219" i="17"/>
  <c r="I104" i="17"/>
  <c r="I26" i="17"/>
  <c r="I84" i="17"/>
  <c r="I78" i="17"/>
  <c r="I67" i="17"/>
  <c r="I194" i="17"/>
  <c r="I197" i="17"/>
  <c r="I151" i="17"/>
  <c r="I175" i="17"/>
  <c r="I180" i="17"/>
  <c r="I33" i="17"/>
  <c r="I113" i="17"/>
  <c r="I71" i="17"/>
  <c r="I143" i="17"/>
  <c r="I85" i="17"/>
  <c r="I56" i="17"/>
  <c r="I117" i="17"/>
  <c r="I249" i="17"/>
  <c r="I105" i="17"/>
  <c r="I86" i="17"/>
  <c r="I208" i="17"/>
  <c r="I8" i="17"/>
  <c r="I130" i="17"/>
  <c r="I173" i="17"/>
  <c r="I255" i="17"/>
  <c r="I169" i="17"/>
  <c r="I111" i="17"/>
  <c r="I142" i="17"/>
  <c r="I155" i="17"/>
  <c r="I240" i="17"/>
  <c r="I107" i="17"/>
  <c r="I179" i="17"/>
  <c r="I114" i="17"/>
  <c r="I122" i="17"/>
  <c r="I90" i="17"/>
  <c r="I258" i="17"/>
  <c r="I257" i="17"/>
  <c r="I178" i="17"/>
  <c r="I101" i="17"/>
  <c r="I47" i="17"/>
  <c r="I216" i="17"/>
  <c r="I170" i="17"/>
  <c r="I254" i="17"/>
  <c r="I172" i="17"/>
  <c r="I253" i="17"/>
  <c r="I81" i="17"/>
  <c r="I41" i="17"/>
  <c r="I54" i="17"/>
  <c r="I7" i="17"/>
  <c r="I203" i="17"/>
  <c r="I242" i="17"/>
  <c r="I119" i="17"/>
  <c r="I93" i="17"/>
  <c r="I222" i="17"/>
  <c r="I220" i="17"/>
  <c r="I265" i="17" l="1"/>
  <c r="J7" i="17"/>
  <c r="J8" i="17" s="1"/>
  <c r="J9" i="17" s="1"/>
  <c r="J10" i="17" s="1"/>
  <c r="J11" i="17" s="1"/>
  <c r="J12" i="17" s="1"/>
  <c r="J13" i="17" s="1"/>
  <c r="J14" i="17" s="1"/>
  <c r="J15" i="17" s="1"/>
  <c r="J16" i="17" s="1"/>
  <c r="J17" i="17" s="1"/>
  <c r="J18" i="17" s="1"/>
  <c r="J19" i="17" s="1"/>
  <c r="J20" i="17" s="1"/>
  <c r="J21" i="17" s="1"/>
  <c r="J22" i="17" s="1"/>
  <c r="J23" i="17" s="1"/>
  <c r="J24" i="17" s="1"/>
  <c r="J25" i="17" s="1"/>
  <c r="J26" i="17" s="1"/>
  <c r="J27" i="17" s="1"/>
  <c r="J28" i="17" s="1"/>
  <c r="J29" i="17" s="1"/>
  <c r="J30" i="17" s="1"/>
  <c r="J31" i="17" s="1"/>
  <c r="J32" i="17" s="1"/>
  <c r="J33" i="17" s="1"/>
  <c r="J34" i="17" s="1"/>
  <c r="J35" i="17" s="1"/>
  <c r="J36" i="17" s="1"/>
  <c r="J37" i="17" s="1"/>
  <c r="J38" i="17" s="1"/>
  <c r="J39" i="17" s="1"/>
  <c r="J40" i="17" s="1"/>
  <c r="J41" i="17" s="1"/>
  <c r="J42" i="17" s="1"/>
  <c r="J43" i="17" s="1"/>
  <c r="J44" i="17" s="1"/>
  <c r="J45" i="17" s="1"/>
  <c r="J46" i="17" s="1"/>
  <c r="J47" i="17" s="1"/>
  <c r="J48" i="17" s="1"/>
  <c r="J49" i="17" s="1"/>
  <c r="J50" i="17" s="1"/>
  <c r="J51" i="17" s="1"/>
  <c r="J52" i="17" s="1"/>
  <c r="J53" i="17" s="1"/>
  <c r="J54" i="17" s="1"/>
  <c r="J55" i="17" s="1"/>
  <c r="J56" i="17" s="1"/>
  <c r="J57" i="17" s="1"/>
  <c r="J58" i="17" s="1"/>
  <c r="J59" i="17" s="1"/>
  <c r="J60" i="17" s="1"/>
  <c r="J61" i="17" s="1"/>
  <c r="J62" i="17" s="1"/>
  <c r="J63" i="17" s="1"/>
  <c r="J64" i="17" s="1"/>
  <c r="J65" i="17" s="1"/>
  <c r="J66" i="17" s="1"/>
  <c r="J67" i="17" s="1"/>
  <c r="J68" i="17" s="1"/>
  <c r="J69" i="17" s="1"/>
  <c r="J70" i="17" s="1"/>
  <c r="J71" i="17" s="1"/>
  <c r="J72" i="17" s="1"/>
  <c r="J73" i="17" s="1"/>
  <c r="J74" i="17" s="1"/>
  <c r="J75" i="17" s="1"/>
  <c r="J76" i="17" s="1"/>
  <c r="J77" i="17" s="1"/>
  <c r="J78" i="17" s="1"/>
  <c r="J79" i="17" s="1"/>
  <c r="J80" i="17" s="1"/>
  <c r="J81" i="17" s="1"/>
  <c r="J82" i="17" s="1"/>
  <c r="J83" i="17" s="1"/>
  <c r="J84" i="17" s="1"/>
  <c r="J85" i="17" s="1"/>
  <c r="J86" i="17" s="1"/>
  <c r="J87" i="17" s="1"/>
  <c r="J88" i="17" s="1"/>
  <c r="J89" i="17" s="1"/>
  <c r="J90" i="17" s="1"/>
  <c r="J91" i="17" s="1"/>
  <c r="J92" i="17" s="1"/>
  <c r="J93" i="17" s="1"/>
  <c r="J94" i="17" s="1"/>
  <c r="J95" i="17" s="1"/>
  <c r="J96" i="17" s="1"/>
  <c r="J97" i="17" s="1"/>
  <c r="J98" i="17" s="1"/>
  <c r="J99" i="17" s="1"/>
  <c r="J100" i="17" s="1"/>
  <c r="J101" i="17" s="1"/>
  <c r="J102" i="17" s="1"/>
  <c r="J103" i="17" s="1"/>
  <c r="J104" i="17" s="1"/>
  <c r="J105" i="17" s="1"/>
  <c r="J106" i="17" s="1"/>
  <c r="J107" i="17" s="1"/>
  <c r="J108" i="17" s="1"/>
  <c r="J109" i="17" s="1"/>
  <c r="J110" i="17" s="1"/>
  <c r="J111" i="17" s="1"/>
  <c r="J112" i="17" s="1"/>
  <c r="J113" i="17" s="1"/>
  <c r="J114" i="17" s="1"/>
  <c r="J115" i="17" s="1"/>
  <c r="J116" i="17" s="1"/>
  <c r="J117" i="17" s="1"/>
  <c r="J118" i="17" s="1"/>
  <c r="J119" i="17" s="1"/>
  <c r="J120" i="17" s="1"/>
  <c r="J121" i="17" s="1"/>
  <c r="J122" i="17" s="1"/>
  <c r="J123" i="17" s="1"/>
  <c r="J124" i="17" s="1"/>
  <c r="J125" i="17" s="1"/>
  <c r="J126" i="17" s="1"/>
  <c r="J127" i="17" s="1"/>
  <c r="J128" i="17" s="1"/>
  <c r="J129" i="17" s="1"/>
  <c r="J130" i="17" s="1"/>
  <c r="J131" i="17" s="1"/>
  <c r="J132" i="17" s="1"/>
  <c r="J133" i="17" s="1"/>
  <c r="J134" i="17" s="1"/>
  <c r="J135" i="17" s="1"/>
  <c r="J136" i="17" s="1"/>
  <c r="J137" i="17" s="1"/>
  <c r="J138" i="17" s="1"/>
  <c r="J139" i="17" s="1"/>
  <c r="J140" i="17" s="1"/>
  <c r="J141" i="17" s="1"/>
  <c r="J142" i="17" s="1"/>
  <c r="J143" i="17" s="1"/>
  <c r="J144" i="17" s="1"/>
  <c r="J145" i="17" s="1"/>
  <c r="J146" i="17" s="1"/>
  <c r="J147" i="17" s="1"/>
  <c r="J148" i="17" s="1"/>
  <c r="J149" i="17" s="1"/>
  <c r="J150" i="17" s="1"/>
  <c r="J151" i="17" s="1"/>
  <c r="J152" i="17" s="1"/>
  <c r="J153" i="17" s="1"/>
  <c r="J154" i="17" s="1"/>
  <c r="J155" i="17" s="1"/>
  <c r="J156" i="17" s="1"/>
  <c r="J157" i="17" s="1"/>
  <c r="J158" i="17" s="1"/>
  <c r="J159" i="17" s="1"/>
  <c r="J160" i="17" s="1"/>
  <c r="J161" i="17" s="1"/>
  <c r="J162" i="17" s="1"/>
  <c r="J163" i="17" s="1"/>
  <c r="J164" i="17" s="1"/>
  <c r="J165" i="17" s="1"/>
  <c r="J166" i="17" s="1"/>
  <c r="J167" i="17" s="1"/>
  <c r="J168" i="17" s="1"/>
  <c r="J169" i="17" s="1"/>
  <c r="J170" i="17" s="1"/>
  <c r="J171" i="17" s="1"/>
  <c r="J172" i="17" s="1"/>
  <c r="J173" i="17" s="1"/>
  <c r="J174" i="17" s="1"/>
  <c r="J175" i="17" s="1"/>
  <c r="J176" i="17" s="1"/>
  <c r="J177" i="17" s="1"/>
  <c r="J178" i="17" s="1"/>
  <c r="J179" i="17" s="1"/>
  <c r="J180" i="17" s="1"/>
  <c r="J181" i="17" s="1"/>
  <c r="J182" i="17" s="1"/>
  <c r="J183" i="17" s="1"/>
  <c r="J184" i="17" s="1"/>
  <c r="J185" i="17" s="1"/>
  <c r="J186" i="17" s="1"/>
  <c r="J187" i="17" s="1"/>
  <c r="J188" i="17" s="1"/>
  <c r="J189" i="17" s="1"/>
  <c r="J190" i="17" s="1"/>
  <c r="J191" i="17" s="1"/>
  <c r="J192" i="17" s="1"/>
  <c r="J193" i="17" s="1"/>
  <c r="J194" i="17" s="1"/>
  <c r="J195" i="17" s="1"/>
  <c r="J196" i="17" s="1"/>
  <c r="J197" i="17" s="1"/>
  <c r="J198" i="17" s="1"/>
  <c r="J199" i="17" s="1"/>
  <c r="J200" i="17" s="1"/>
  <c r="J201" i="17" s="1"/>
  <c r="J202" i="17" s="1"/>
  <c r="J203" i="17" s="1"/>
  <c r="J204" i="17" s="1"/>
  <c r="J205" i="17" s="1"/>
  <c r="J206" i="17" s="1"/>
  <c r="J207" i="17" s="1"/>
  <c r="J208" i="17" s="1"/>
  <c r="J209" i="17" s="1"/>
  <c r="J210" i="17" s="1"/>
  <c r="J211" i="17" s="1"/>
  <c r="J212" i="17" s="1"/>
  <c r="J213" i="17" s="1"/>
  <c r="J214" i="17" s="1"/>
  <c r="J215" i="17" s="1"/>
  <c r="J216" i="17" s="1"/>
  <c r="J217" i="17" s="1"/>
  <c r="J218" i="17" s="1"/>
  <c r="J219" i="17" s="1"/>
  <c r="J220" i="17" s="1"/>
  <c r="J221" i="17" s="1"/>
  <c r="J222" i="17" s="1"/>
  <c r="J223" i="17" s="1"/>
  <c r="J224" i="17" s="1"/>
  <c r="J225" i="17" s="1"/>
  <c r="J226" i="17" s="1"/>
  <c r="J227" i="17" s="1"/>
  <c r="J228" i="17" s="1"/>
  <c r="J229" i="17" s="1"/>
  <c r="J230" i="17" s="1"/>
  <c r="J231" i="17" s="1"/>
  <c r="J232" i="17" s="1"/>
  <c r="J233" i="17" s="1"/>
  <c r="J234" i="17" s="1"/>
  <c r="J235" i="17" s="1"/>
  <c r="J236" i="17" s="1"/>
  <c r="J237" i="17" s="1"/>
  <c r="J238" i="17" s="1"/>
  <c r="J239" i="17" s="1"/>
  <c r="J240" i="17" s="1"/>
  <c r="J241" i="17" s="1"/>
  <c r="J242" i="17" s="1"/>
  <c r="J243" i="17" s="1"/>
  <c r="J244" i="17" s="1"/>
  <c r="J245" i="17" s="1"/>
  <c r="J246" i="17" s="1"/>
  <c r="J247" i="17" s="1"/>
  <c r="J248" i="17" s="1"/>
  <c r="J249" i="17" s="1"/>
  <c r="J250" i="17" s="1"/>
  <c r="J251" i="17" s="1"/>
  <c r="J252" i="17" s="1"/>
  <c r="J253" i="17" s="1"/>
  <c r="J254" i="17" s="1"/>
  <c r="J255" i="17" s="1"/>
  <c r="J256" i="17" s="1"/>
  <c r="J257" i="17" s="1"/>
  <c r="J258" i="17" s="1"/>
  <c r="J259" i="17" s="1"/>
  <c r="J260" i="17" s="1"/>
  <c r="J261" i="17" s="1"/>
  <c r="J262" i="17" s="1"/>
  <c r="J263" i="17" s="1"/>
  <c r="E74" i="4"/>
  <c r="E84" i="4"/>
  <c r="E79" i="4"/>
  <c r="E305" i="4"/>
  <c r="E304" i="4"/>
  <c r="E303" i="4"/>
  <c r="E299" i="4"/>
  <c r="E297" i="4"/>
  <c r="B8" i="3"/>
  <c r="B13" i="3"/>
  <c r="B16" i="3"/>
  <c r="B19" i="3"/>
  <c r="B22" i="3"/>
  <c r="B29" i="3"/>
  <c r="B35" i="3"/>
  <c r="B42" i="3"/>
  <c r="B43" i="3"/>
  <c r="B45" i="3"/>
  <c r="B52" i="3"/>
  <c r="B53" i="3"/>
  <c r="B55" i="3"/>
  <c r="B56" i="3"/>
  <c r="B60" i="3"/>
  <c r="B63" i="3"/>
  <c r="B65" i="3"/>
  <c r="B79" i="3"/>
  <c r="B83" i="3"/>
  <c r="B85" i="3"/>
  <c r="B91" i="3"/>
  <c r="B94" i="3"/>
  <c r="B96" i="3"/>
  <c r="B101" i="3"/>
  <c r="B104" i="3"/>
  <c r="B106" i="3"/>
  <c r="B114" i="3"/>
  <c r="B117" i="3"/>
  <c r="B119" i="3"/>
  <c r="B122" i="3"/>
  <c r="B124" i="3"/>
  <c r="B127" i="3"/>
  <c r="B129" i="3"/>
  <c r="B132" i="3"/>
  <c r="B134" i="3"/>
  <c r="B141" i="3"/>
  <c r="B144" i="3"/>
  <c r="B146" i="3"/>
  <c r="B148" i="3"/>
  <c r="B150" i="3"/>
  <c r="B153" i="3"/>
  <c r="B155" i="3"/>
  <c r="B159" i="3"/>
  <c r="B164" i="3"/>
  <c r="B171" i="3"/>
  <c r="B175" i="3"/>
  <c r="B179" i="3"/>
  <c r="B185" i="3"/>
  <c r="B187" i="3"/>
  <c r="B189" i="3"/>
  <c r="B191" i="3"/>
  <c r="B193" i="3"/>
  <c r="B195" i="3"/>
  <c r="B197" i="3"/>
  <c r="B200" i="3"/>
  <c r="B201" i="3"/>
  <c r="B203" i="3"/>
  <c r="B206" i="3"/>
  <c r="B207" i="3"/>
  <c r="B209" i="3"/>
  <c r="B212" i="3"/>
  <c r="B213" i="3"/>
  <c r="B215" i="3"/>
  <c r="B225" i="3"/>
  <c r="B226" i="3"/>
  <c r="B229" i="3"/>
  <c r="B239" i="3"/>
  <c r="B240" i="3"/>
  <c r="B241" i="3"/>
  <c r="B244" i="3"/>
  <c r="B254" i="3"/>
  <c r="B255" i="3"/>
  <c r="B256" i="3"/>
  <c r="B259" i="3"/>
  <c r="B270" i="3"/>
  <c r="B275" i="3"/>
  <c r="B279" i="3"/>
  <c r="B283" i="3"/>
  <c r="B286" i="3"/>
  <c r="B291" i="3"/>
  <c r="B296" i="3"/>
  <c r="B299" i="3"/>
  <c r="B300" i="3"/>
  <c r="B303" i="3"/>
  <c r="B306" i="3"/>
  <c r="B309" i="3"/>
  <c r="B313" i="3"/>
  <c r="B317" i="3"/>
  <c r="B324" i="3"/>
  <c r="B328" i="3"/>
  <c r="B332" i="3"/>
  <c r="B333" i="3"/>
  <c r="E267" i="4"/>
  <c r="E261" i="4"/>
  <c r="E255" i="4"/>
  <c r="A99" i="4"/>
  <c r="A100" i="4" s="1"/>
  <c r="A101" i="4" s="1"/>
  <c r="A105" i="4"/>
  <c r="A106" i="4" s="1"/>
  <c r="A107" i="4" s="1"/>
  <c r="A111" i="4"/>
  <c r="A112" i="4" s="1"/>
  <c r="A113" i="4" s="1"/>
  <c r="A117" i="4"/>
  <c r="A118" i="4" s="1"/>
  <c r="A119" i="4" s="1"/>
  <c r="A123" i="4"/>
  <c r="A124" i="4" s="1"/>
  <c r="A125" i="4" s="1"/>
  <c r="A129" i="4"/>
  <c r="A130" i="4" s="1"/>
  <c r="A131" i="4" s="1"/>
  <c r="A135" i="4"/>
  <c r="A136" i="4" s="1"/>
  <c r="A137" i="4" s="1"/>
  <c r="A141" i="4"/>
  <c r="A142" i="4" s="1"/>
  <c r="A143" i="4" s="1"/>
  <c r="A147" i="4"/>
  <c r="A148" i="4" s="1"/>
  <c r="A149" i="4" s="1"/>
  <c r="A153" i="4"/>
  <c r="A154" i="4" s="1"/>
  <c r="A155" i="4" s="1"/>
  <c r="A159" i="4"/>
  <c r="A160" i="4" s="1"/>
  <c r="A161" i="4" s="1"/>
  <c r="A165" i="4"/>
  <c r="A166" i="4" s="1"/>
  <c r="A167" i="4" s="1"/>
  <c r="A171" i="4"/>
  <c r="A172" i="4" s="1"/>
  <c r="A173" i="4" s="1"/>
  <c r="A177" i="4"/>
  <c r="A178" i="4" s="1"/>
  <c r="A179" i="4" s="1"/>
  <c r="A183" i="4"/>
  <c r="A184" i="4" s="1"/>
  <c r="A185" i="4" s="1"/>
  <c r="A189" i="4"/>
  <c r="A190" i="4" s="1"/>
  <c r="A191" i="4" s="1"/>
  <c r="B82" i="4"/>
  <c r="E69" i="4"/>
  <c r="E68" i="4"/>
  <c r="A68" i="4"/>
  <c r="A69" i="4" s="1"/>
  <c r="A70" i="4" s="1"/>
  <c r="A63" i="4"/>
  <c r="A64" i="4" s="1"/>
  <c r="A65" i="4" s="1"/>
  <c r="E58" i="4"/>
  <c r="E57" i="4"/>
  <c r="A57" i="4"/>
  <c r="A58" i="4" s="1"/>
  <c r="A59" i="4" s="1"/>
  <c r="E53" i="4"/>
  <c r="E52" i="4"/>
  <c r="E51" i="4"/>
  <c r="A51" i="4"/>
  <c r="A52" i="4" s="1"/>
  <c r="A53" i="4" s="1"/>
  <c r="A45" i="4"/>
  <c r="A46" i="4" s="1"/>
  <c r="A47" i="4" s="1"/>
  <c r="E41" i="4"/>
  <c r="E40" i="4"/>
  <c r="A39" i="4"/>
  <c r="A40" i="4" s="1"/>
  <c r="A41" i="4" s="1"/>
  <c r="A33" i="4"/>
  <c r="A34" i="4" s="1"/>
  <c r="A35" i="4" s="1"/>
  <c r="E29" i="4"/>
  <c r="E28" i="4"/>
  <c r="E27" i="4"/>
  <c r="A27" i="4"/>
  <c r="A28" i="4" s="1"/>
  <c r="A29" i="4" s="1"/>
  <c r="E23" i="4"/>
  <c r="E22" i="4"/>
  <c r="E21" i="4"/>
  <c r="A21" i="4"/>
  <c r="A22" i="4" s="1"/>
  <c r="A23" i="4" s="1"/>
  <c r="E17" i="4"/>
  <c r="E16" i="4"/>
  <c r="E15" i="4"/>
  <c r="A15" i="4"/>
  <c r="A16" i="4" s="1"/>
  <c r="A17" i="4" s="1"/>
  <c r="E11" i="4"/>
  <c r="E10" i="4"/>
  <c r="E9" i="4"/>
  <c r="A9" i="4"/>
  <c r="A10" i="4" s="1"/>
  <c r="A11" i="4" s="1"/>
  <c r="H143" i="3" l="1"/>
  <c r="D144" i="3"/>
  <c r="A333" i="4"/>
  <c r="A334" i="4" s="1"/>
  <c r="A335" i="4" s="1"/>
  <c r="E332" i="4"/>
  <c r="G144" i="3" s="1"/>
  <c r="H144" i="3" s="1"/>
  <c r="D132" i="3"/>
  <c r="A327" i="4"/>
  <c r="A328" i="4" s="1"/>
  <c r="A329" i="4" s="1"/>
  <c r="E326" i="4"/>
  <c r="G132" i="3" s="1"/>
  <c r="H132" i="3" s="1"/>
  <c r="C129" i="3"/>
  <c r="D129" i="3"/>
  <c r="E129" i="3"/>
  <c r="A129" i="3"/>
  <c r="H131" i="3"/>
  <c r="H130" i="3"/>
  <c r="B268" i="1"/>
  <c r="D153" i="3"/>
  <c r="A321" i="4"/>
  <c r="A322" i="4" s="1"/>
  <c r="A323" i="4" s="1"/>
  <c r="E320" i="4"/>
  <c r="G153" i="3" s="1"/>
  <c r="H153" i="3" s="1"/>
  <c r="G150" i="3" s="1"/>
  <c r="C150" i="3"/>
  <c r="D150" i="3"/>
  <c r="E150" i="3"/>
  <c r="A150" i="3"/>
  <c r="H152" i="3"/>
  <c r="H151" i="3"/>
  <c r="C141" i="3"/>
  <c r="D141" i="3"/>
  <c r="E141" i="3"/>
  <c r="A141" i="3"/>
  <c r="H142" i="3"/>
  <c r="G129" i="3" l="1"/>
  <c r="H129" i="3" s="1"/>
  <c r="H150" i="3"/>
  <c r="G141" i="3"/>
  <c r="H141" i="3" s="1"/>
  <c r="G203" i="1" l="1"/>
  <c r="I203" i="1" s="1"/>
  <c r="G175" i="1"/>
  <c r="I175" i="1" s="1"/>
  <c r="G171" i="1"/>
  <c r="A171" i="3"/>
  <c r="C171" i="3"/>
  <c r="D171" i="3"/>
  <c r="E171" i="3"/>
  <c r="H172" i="3"/>
  <c r="H173" i="3"/>
  <c r="A175" i="3"/>
  <c r="C175" i="3"/>
  <c r="D175" i="3"/>
  <c r="E175" i="3"/>
  <c r="H176" i="3"/>
  <c r="H177" i="3"/>
  <c r="G175" i="3" s="1"/>
  <c r="H175" i="3" s="1"/>
  <c r="F135" i="3"/>
  <c r="H135" i="3" s="1"/>
  <c r="H139" i="3"/>
  <c r="H138" i="3"/>
  <c r="H137" i="3"/>
  <c r="H136" i="3"/>
  <c r="C134" i="3"/>
  <c r="D134" i="3"/>
  <c r="E134" i="3"/>
  <c r="A134" i="3"/>
  <c r="G171" i="3" l="1"/>
  <c r="H171" i="3" s="1"/>
  <c r="I171" i="1"/>
  <c r="C91" i="3"/>
  <c r="D91" i="3"/>
  <c r="E91" i="3"/>
  <c r="A91" i="3"/>
  <c r="B138" i="1"/>
  <c r="B81" i="1"/>
  <c r="H68" i="3"/>
  <c r="H69" i="3"/>
  <c r="H70" i="3"/>
  <c r="H71" i="3"/>
  <c r="H72" i="3"/>
  <c r="H73" i="3"/>
  <c r="H74" i="3"/>
  <c r="H75" i="3"/>
  <c r="H76" i="3"/>
  <c r="H77" i="3"/>
  <c r="C65" i="3"/>
  <c r="D65" i="3"/>
  <c r="E65" i="3"/>
  <c r="A65" i="3"/>
  <c r="H67" i="3"/>
  <c r="H66" i="3"/>
  <c r="C29" i="3"/>
  <c r="D29" i="3"/>
  <c r="E29" i="3"/>
  <c r="A29" i="3"/>
  <c r="H33" i="3"/>
  <c r="H32" i="3"/>
  <c r="H31" i="3"/>
  <c r="H30" i="3"/>
  <c r="G29" i="3" l="1"/>
  <c r="H29" i="3" s="1"/>
  <c r="G46" i="1" s="1"/>
  <c r="F93" i="3" l="1"/>
  <c r="F92" i="3"/>
  <c r="D94" i="3"/>
  <c r="A285" i="4"/>
  <c r="A286" i="4" s="1"/>
  <c r="A287" i="4" s="1"/>
  <c r="E284" i="4"/>
  <c r="G94" i="3" s="1"/>
  <c r="F130" i="1"/>
  <c r="I130" i="1" s="1"/>
  <c r="F178" i="1"/>
  <c r="I178" i="1" s="1"/>
  <c r="F177" i="1"/>
  <c r="I177" i="1" s="1"/>
  <c r="B173" i="1"/>
  <c r="D172" i="1"/>
  <c r="B172" i="1"/>
  <c r="F158" i="1"/>
  <c r="I158" i="1" s="1"/>
  <c r="F157" i="1"/>
  <c r="I157" i="1" s="1"/>
  <c r="F151" i="1"/>
  <c r="I151" i="1" s="1"/>
  <c r="F150" i="1"/>
  <c r="I150" i="1" s="1"/>
  <c r="F134" i="1"/>
  <c r="I134" i="1" s="1"/>
  <c r="F133" i="1"/>
  <c r="I133" i="1" s="1"/>
  <c r="F186" i="1"/>
  <c r="I186" i="1" s="1"/>
  <c r="F225" i="1"/>
  <c r="I225" i="1" s="1"/>
  <c r="F224" i="1"/>
  <c r="I224" i="1" s="1"/>
  <c r="F228" i="1"/>
  <c r="I228" i="1" s="1"/>
  <c r="F236" i="1"/>
  <c r="I236" i="1" s="1"/>
  <c r="F235" i="1"/>
  <c r="I235" i="1" s="1"/>
  <c r="F101" i="1"/>
  <c r="I101" i="1" s="1"/>
  <c r="F100" i="1"/>
  <c r="I100" i="1" s="1"/>
  <c r="F117" i="1"/>
  <c r="I117" i="1" s="1"/>
  <c r="F116" i="1"/>
  <c r="I116" i="1" s="1"/>
  <c r="F104" i="1"/>
  <c r="G104" i="1"/>
  <c r="F94" i="1"/>
  <c r="I94" i="1" s="1"/>
  <c r="F93" i="1"/>
  <c r="I93" i="1" s="1"/>
  <c r="F120" i="1"/>
  <c r="F86" i="1"/>
  <c r="I86" i="1" s="1"/>
  <c r="F65" i="1"/>
  <c r="I65" i="1" s="1"/>
  <c r="F67" i="1"/>
  <c r="I67" i="1" s="1"/>
  <c r="F66" i="1"/>
  <c r="I66" i="1" s="1"/>
  <c r="F213" i="1"/>
  <c r="I213" i="1" s="1"/>
  <c r="F212" i="1"/>
  <c r="I212" i="1" s="1"/>
  <c r="F208" i="1"/>
  <c r="I208" i="1" s="1"/>
  <c r="F192" i="1"/>
  <c r="I192" i="1" s="1"/>
  <c r="F191" i="1"/>
  <c r="I191" i="1" s="1"/>
  <c r="F294" i="3"/>
  <c r="J405" i="11"/>
  <c r="C352" i="11"/>
  <c r="I104" i="1" l="1"/>
  <c r="F62" i="1"/>
  <c r="I62" i="1" s="1"/>
  <c r="I120" i="1"/>
  <c r="F155" i="1"/>
  <c r="I155" i="1" s="1"/>
  <c r="F222" i="1"/>
  <c r="I222" i="1" s="1"/>
  <c r="F98" i="1"/>
  <c r="I98" i="1" s="1"/>
  <c r="B305" i="1" l="1"/>
  <c r="B304" i="1"/>
  <c r="B303" i="1"/>
  <c r="B302" i="1"/>
  <c r="B301" i="1"/>
  <c r="B300" i="1"/>
  <c r="B299" i="1"/>
  <c r="B298" i="1"/>
  <c r="B297" i="1"/>
  <c r="B296" i="1"/>
  <c r="B295" i="1"/>
  <c r="B294" i="1"/>
  <c r="B293" i="1"/>
  <c r="B292" i="1"/>
  <c r="B291" i="1"/>
  <c r="B290" i="1"/>
  <c r="B289" i="1"/>
  <c r="B62" i="4"/>
  <c r="B105" i="2" l="1"/>
  <c r="J105" i="2"/>
  <c r="A55" i="6"/>
  <c r="C55" i="6" s="1"/>
  <c r="B52" i="6"/>
  <c r="A52" i="6"/>
  <c r="B55" i="6"/>
  <c r="C124" i="3" l="1"/>
  <c r="D124" i="3"/>
  <c r="E124" i="3"/>
  <c r="A124" i="3"/>
  <c r="A8" i="3"/>
  <c r="C16" i="3"/>
  <c r="D16" i="3"/>
  <c r="E16" i="3"/>
  <c r="A16" i="3"/>
  <c r="F102" i="3" l="1"/>
  <c r="H102" i="3" s="1"/>
  <c r="D104" i="3"/>
  <c r="A315" i="4"/>
  <c r="A316" i="4" s="1"/>
  <c r="A317" i="4" s="1"/>
  <c r="E314" i="4"/>
  <c r="G104" i="3" s="1"/>
  <c r="C101" i="3"/>
  <c r="D101" i="3"/>
  <c r="E101" i="3"/>
  <c r="A101" i="3"/>
  <c r="H103" i="3"/>
  <c r="J525" i="11" l="1"/>
  <c r="J526" i="11"/>
  <c r="J527" i="11"/>
  <c r="J528" i="11"/>
  <c r="J529" i="11"/>
  <c r="J530" i="11"/>
  <c r="J531" i="11"/>
  <c r="J532" i="11"/>
  <c r="J514" i="11"/>
  <c r="J515" i="11"/>
  <c r="J516" i="11"/>
  <c r="J517" i="11"/>
  <c r="J518" i="11"/>
  <c r="J519" i="11"/>
  <c r="J520" i="11"/>
  <c r="J524" i="11"/>
  <c r="J513" i="11"/>
  <c r="J534" i="11"/>
  <c r="F313" i="1" s="1"/>
  <c r="C537" i="11"/>
  <c r="C534" i="11"/>
  <c r="C523" i="11"/>
  <c r="A537" i="11"/>
  <c r="A534" i="11"/>
  <c r="A523" i="11"/>
  <c r="A566" i="11"/>
  <c r="A563" i="11"/>
  <c r="A560" i="11"/>
  <c r="A541" i="11"/>
  <c r="C522" i="11"/>
  <c r="J537" i="11"/>
  <c r="F314" i="1" s="1"/>
  <c r="I4" i="11"/>
  <c r="A512" i="11"/>
  <c r="C512" i="11"/>
  <c r="C509" i="11"/>
  <c r="A509" i="11"/>
  <c r="J509" i="11"/>
  <c r="F308" i="1" s="1"/>
  <c r="J339" i="11"/>
  <c r="A339" i="11"/>
  <c r="C339" i="11"/>
  <c r="J512" i="11" l="1"/>
  <c r="F309" i="1" s="1"/>
  <c r="J523" i="11"/>
  <c r="F312" i="1" s="1"/>
  <c r="J310" i="11" l="1"/>
  <c r="C310" i="11"/>
  <c r="J303" i="11"/>
  <c r="C303" i="11"/>
  <c r="C296" i="11"/>
  <c r="C293" i="11"/>
  <c r="J296" i="11"/>
  <c r="J293" i="11"/>
  <c r="C151" i="11"/>
  <c r="A151" i="11"/>
  <c r="J151" i="11"/>
  <c r="F41" i="1" s="1"/>
  <c r="C88" i="11"/>
  <c r="A88" i="11"/>
  <c r="F301" i="3"/>
  <c r="H301" i="3" s="1"/>
  <c r="D300" i="3"/>
  <c r="D299" i="3"/>
  <c r="A309" i="4"/>
  <c r="A310" i="4" s="1"/>
  <c r="A311" i="4" s="1"/>
  <c r="E308" i="4"/>
  <c r="G300" i="3" s="1"/>
  <c r="H300" i="3" s="1"/>
  <c r="J435" i="11"/>
  <c r="F286" i="1" s="1"/>
  <c r="C435" i="11"/>
  <c r="C296" i="3"/>
  <c r="D296" i="3"/>
  <c r="E296" i="3"/>
  <c r="A296" i="3"/>
  <c r="H298" i="3"/>
  <c r="H297" i="3"/>
  <c r="J377" i="11"/>
  <c r="J376" i="11" s="1"/>
  <c r="F277" i="1" s="1"/>
  <c r="I277" i="1" s="1"/>
  <c r="J374" i="11"/>
  <c r="J373" i="11" s="1"/>
  <c r="F276" i="1" s="1"/>
  <c r="I276" i="1" s="1"/>
  <c r="C376" i="11"/>
  <c r="A376" i="11"/>
  <c r="C373" i="11"/>
  <c r="A373" i="11"/>
  <c r="C370" i="11"/>
  <c r="A370" i="11"/>
  <c r="F264" i="1"/>
  <c r="C283" i="3"/>
  <c r="D283" i="3"/>
  <c r="E283" i="3"/>
  <c r="A283" i="3"/>
  <c r="H284" i="3"/>
  <c r="G283" i="3" s="1"/>
  <c r="H283" i="3" s="1"/>
  <c r="G264" i="1" s="1"/>
  <c r="C279" i="3"/>
  <c r="D279" i="3"/>
  <c r="E279" i="3"/>
  <c r="A279" i="3"/>
  <c r="F157" i="3"/>
  <c r="F156" i="3" s="1"/>
  <c r="H156" i="3" s="1"/>
  <c r="C155" i="3"/>
  <c r="D155" i="3"/>
  <c r="E155" i="3"/>
  <c r="A155" i="3"/>
  <c r="J371" i="11"/>
  <c r="J370" i="11" s="1"/>
  <c r="J367" i="11"/>
  <c r="J364" i="11"/>
  <c r="C367" i="11"/>
  <c r="A367" i="11"/>
  <c r="C358" i="11"/>
  <c r="C355" i="11"/>
  <c r="A355" i="11"/>
  <c r="A352" i="11"/>
  <c r="C349" i="11"/>
  <c r="A349" i="11"/>
  <c r="J67" i="11"/>
  <c r="F329" i="3"/>
  <c r="H329" i="3" s="1"/>
  <c r="G328" i="3" s="1"/>
  <c r="C328" i="3"/>
  <c r="D328" i="3"/>
  <c r="A328" i="3"/>
  <c r="F326" i="3"/>
  <c r="H326" i="3" s="1"/>
  <c r="F325" i="3"/>
  <c r="H325" i="3" s="1"/>
  <c r="C324" i="3"/>
  <c r="D324" i="3"/>
  <c r="E324" i="3"/>
  <c r="A324" i="3"/>
  <c r="F315" i="3"/>
  <c r="H315" i="3" s="1"/>
  <c r="F314" i="3"/>
  <c r="H314" i="3" s="1"/>
  <c r="C313" i="3"/>
  <c r="D313" i="3"/>
  <c r="E313" i="3"/>
  <c r="A313" i="3"/>
  <c r="C309" i="3"/>
  <c r="D309" i="3"/>
  <c r="E309" i="3"/>
  <c r="A309" i="3"/>
  <c r="F322" i="3"/>
  <c r="H322" i="3" s="1"/>
  <c r="F321" i="3"/>
  <c r="H321" i="3" s="1"/>
  <c r="F320" i="3"/>
  <c r="H320" i="3" s="1"/>
  <c r="H319" i="3"/>
  <c r="C317" i="3"/>
  <c r="D317" i="3"/>
  <c r="E317" i="3"/>
  <c r="A317" i="3"/>
  <c r="H318" i="3"/>
  <c r="F263" i="1"/>
  <c r="H294" i="3"/>
  <c r="C364" i="11"/>
  <c r="A364" i="11"/>
  <c r="C361" i="11"/>
  <c r="A361" i="11"/>
  <c r="J361" i="11"/>
  <c r="F272" i="1" s="1"/>
  <c r="I272" i="1" s="1"/>
  <c r="B271" i="1"/>
  <c r="C291" i="3"/>
  <c r="D291" i="3"/>
  <c r="E291" i="3"/>
  <c r="A291" i="3"/>
  <c r="H293" i="3"/>
  <c r="H292" i="3"/>
  <c r="C346" i="11"/>
  <c r="A346" i="11"/>
  <c r="C19" i="3"/>
  <c r="D19" i="3"/>
  <c r="E19" i="3"/>
  <c r="A19" i="3"/>
  <c r="H335" i="3"/>
  <c r="F334" i="3"/>
  <c r="H334" i="3" s="1"/>
  <c r="E332" i="3"/>
  <c r="D332" i="3"/>
  <c r="C332" i="3"/>
  <c r="A332" i="3"/>
  <c r="C127" i="11"/>
  <c r="A127" i="11"/>
  <c r="J127" i="11"/>
  <c r="F36" i="1" s="1"/>
  <c r="A124" i="11"/>
  <c r="I264" i="1" l="1"/>
  <c r="G324" i="3"/>
  <c r="G317" i="3"/>
  <c r="H317" i="3" s="1"/>
  <c r="G312" i="1" s="1"/>
  <c r="H157" i="3"/>
  <c r="G155" i="3" s="1"/>
  <c r="H155" i="3" s="1"/>
  <c r="G204" i="1" s="1"/>
  <c r="G313" i="3"/>
  <c r="H313" i="3" s="1"/>
  <c r="G309" i="1" s="1"/>
  <c r="G291" i="3"/>
  <c r="H291" i="3" s="1"/>
  <c r="G273" i="1" s="1"/>
  <c r="I312" i="1" l="1"/>
  <c r="I309" i="1"/>
  <c r="I204" i="1"/>
  <c r="E302" i="4"/>
  <c r="G148" i="3" s="1"/>
  <c r="H148" i="3" s="1"/>
  <c r="D148" i="3"/>
  <c r="A303" i="4"/>
  <c r="A304" i="4" s="1"/>
  <c r="A305" i="4" s="1"/>
  <c r="F147" i="3"/>
  <c r="H147" i="3" s="1"/>
  <c r="C146" i="3"/>
  <c r="D146" i="3"/>
  <c r="E146" i="3"/>
  <c r="A146" i="3"/>
  <c r="G146" i="3" l="1"/>
  <c r="H146" i="3" s="1"/>
  <c r="G194" i="1" l="1"/>
  <c r="I194" i="1" s="1"/>
  <c r="H168" i="3"/>
  <c r="H167" i="3"/>
  <c r="C164" i="3"/>
  <c r="D164" i="3"/>
  <c r="E164" i="3"/>
  <c r="A164" i="3"/>
  <c r="H169" i="3"/>
  <c r="H166" i="3"/>
  <c r="H165" i="3"/>
  <c r="G164" i="3" l="1"/>
  <c r="H164" i="3" s="1"/>
  <c r="G219" i="1" s="1"/>
  <c r="I219" i="1" l="1"/>
  <c r="J3" i="1"/>
  <c r="E83" i="4"/>
  <c r="H311" i="3"/>
  <c r="J4" i="2"/>
  <c r="J69" i="2"/>
  <c r="B69" i="2"/>
  <c r="E3" i="4"/>
  <c r="H3" i="3"/>
  <c r="C306" i="3"/>
  <c r="D306" i="3"/>
  <c r="E306" i="3"/>
  <c r="A306" i="3"/>
  <c r="C303" i="3"/>
  <c r="D303" i="3"/>
  <c r="E303" i="3"/>
  <c r="A303" i="3"/>
  <c r="H307" i="3"/>
  <c r="G306" i="3" s="1"/>
  <c r="H306" i="3" s="1"/>
  <c r="G307" i="1" s="1"/>
  <c r="H304" i="3"/>
  <c r="G303" i="3" s="1"/>
  <c r="H303" i="3" s="1"/>
  <c r="G306" i="1" s="1"/>
  <c r="H17" i="3"/>
  <c r="G16" i="3" s="1"/>
  <c r="H16" i="3" s="1"/>
  <c r="G32" i="1" s="1"/>
  <c r="C106" i="3"/>
  <c r="D106" i="3"/>
  <c r="E106" i="3"/>
  <c r="A106" i="3"/>
  <c r="H110" i="3"/>
  <c r="H111" i="3"/>
  <c r="H112" i="3"/>
  <c r="H109" i="3"/>
  <c r="H108" i="3"/>
  <c r="H107" i="3"/>
  <c r="E78" i="4"/>
  <c r="E73" i="4"/>
  <c r="J3" i="2" l="1"/>
  <c r="H310" i="3"/>
  <c r="G309" i="3" s="1"/>
  <c r="G106" i="3"/>
  <c r="H106" i="3" s="1"/>
  <c r="G83" i="1" s="1"/>
  <c r="D189" i="1"/>
  <c r="B189" i="1"/>
  <c r="B82" i="1"/>
  <c r="D81" i="1"/>
  <c r="E296" i="4"/>
  <c r="A297" i="4"/>
  <c r="A298" i="4" s="1"/>
  <c r="A299" i="4" s="1"/>
  <c r="E290" i="4"/>
  <c r="A291" i="4"/>
  <c r="A292" i="4" s="1"/>
  <c r="A293" i="4" s="1"/>
  <c r="H93" i="3"/>
  <c r="H92" i="3"/>
  <c r="H94" i="3"/>
  <c r="C22" i="3"/>
  <c r="D22" i="3"/>
  <c r="E22" i="3"/>
  <c r="A22" i="3"/>
  <c r="H27" i="3"/>
  <c r="H26" i="3"/>
  <c r="H25" i="3"/>
  <c r="H24" i="3"/>
  <c r="H23" i="3"/>
  <c r="D226" i="3"/>
  <c r="D241" i="3"/>
  <c r="D256" i="3"/>
  <c r="A279" i="4"/>
  <c r="A280" i="4" s="1"/>
  <c r="A281" i="4" s="1"/>
  <c r="E278" i="4"/>
  <c r="G241" i="3" s="1"/>
  <c r="H241" i="3" s="1"/>
  <c r="A270" i="3"/>
  <c r="C270" i="3"/>
  <c r="D270" i="3"/>
  <c r="E270" i="3"/>
  <c r="F271" i="3"/>
  <c r="H271" i="3" s="1"/>
  <c r="F272" i="3"/>
  <c r="H272" i="3" s="1"/>
  <c r="H268" i="3"/>
  <c r="F257" i="3"/>
  <c r="H257" i="3" s="1"/>
  <c r="F242" i="3"/>
  <c r="H242" i="3" s="1"/>
  <c r="F227" i="3"/>
  <c r="H227" i="3" s="1"/>
  <c r="D212" i="3"/>
  <c r="D213" i="3"/>
  <c r="C209" i="3"/>
  <c r="D209" i="3"/>
  <c r="E209" i="3"/>
  <c r="A209" i="3"/>
  <c r="D207" i="3"/>
  <c r="D201" i="3"/>
  <c r="I83" i="1" l="1"/>
  <c r="G173" i="1"/>
  <c r="I173" i="1" s="1"/>
  <c r="G172" i="1"/>
  <c r="I172" i="1" s="1"/>
  <c r="H309" i="3"/>
  <c r="G308" i="1"/>
  <c r="G81" i="1"/>
  <c r="G82" i="1"/>
  <c r="G189" i="1"/>
  <c r="G91" i="3"/>
  <c r="H91" i="3" s="1"/>
  <c r="G22" i="3"/>
  <c r="H22" i="3" s="1"/>
  <c r="G41" i="1" s="1"/>
  <c r="G226" i="3"/>
  <c r="H226" i="3" s="1"/>
  <c r="G256" i="3"/>
  <c r="H256" i="3" s="1"/>
  <c r="G270" i="3"/>
  <c r="H270" i="3" s="1"/>
  <c r="I41" i="1" l="1"/>
  <c r="I308" i="1"/>
  <c r="I81" i="1"/>
  <c r="I82" i="1"/>
  <c r="I189" i="1"/>
  <c r="G181" i="1"/>
  <c r="G69" i="1"/>
  <c r="I69" i="1" l="1"/>
  <c r="I181" i="1"/>
  <c r="I187" i="1"/>
  <c r="I227" i="1" l="1"/>
  <c r="I185" i="1"/>
  <c r="H10" i="3"/>
  <c r="H9" i="3"/>
  <c r="I209" i="1"/>
  <c r="I205" i="1"/>
  <c r="I129" i="1"/>
  <c r="G8" i="3" l="1"/>
  <c r="I61" i="1"/>
  <c r="I141" i="1"/>
  <c r="I149" i="1"/>
  <c r="I160" i="1"/>
  <c r="A13" i="3"/>
  <c r="A85" i="3"/>
  <c r="A60" i="3"/>
  <c r="J4" i="1" l="1"/>
  <c r="F85" i="1"/>
  <c r="I85" i="1" s="1"/>
  <c r="B89" i="1"/>
  <c r="B269" i="1"/>
  <c r="B270" i="1"/>
  <c r="F318" i="1"/>
  <c r="I318" i="1" s="1"/>
  <c r="E77" i="4"/>
  <c r="E272" i="4"/>
  <c r="E248" i="4"/>
  <c r="E242" i="4"/>
  <c r="E236" i="4"/>
  <c r="E230" i="4"/>
  <c r="E224" i="4"/>
  <c r="G213" i="3" s="1"/>
  <c r="E218" i="4"/>
  <c r="G207" i="3" s="1"/>
  <c r="E212" i="4"/>
  <c r="G212" i="3" s="1"/>
  <c r="E206" i="4"/>
  <c r="E200" i="4"/>
  <c r="E194" i="4"/>
  <c r="E188" i="4"/>
  <c r="E182" i="4"/>
  <c r="E176" i="4"/>
  <c r="E170" i="4"/>
  <c r="E164" i="4"/>
  <c r="E158" i="4"/>
  <c r="E152" i="4"/>
  <c r="E146" i="4"/>
  <c r="E140" i="4"/>
  <c r="E134" i="4"/>
  <c r="E128" i="4"/>
  <c r="E122" i="4"/>
  <c r="E116" i="4"/>
  <c r="E110" i="4"/>
  <c r="E104" i="4"/>
  <c r="E98" i="4"/>
  <c r="E92" i="4"/>
  <c r="G333" i="3" s="1"/>
  <c r="H333" i="3" s="1"/>
  <c r="G332" i="3" s="1"/>
  <c r="H332" i="3" s="1"/>
  <c r="E62" i="4"/>
  <c r="G134" i="3" s="1"/>
  <c r="H134" i="3" s="1"/>
  <c r="G174" i="1" s="1"/>
  <c r="E44" i="4"/>
  <c r="E38" i="4"/>
  <c r="E32" i="4"/>
  <c r="E266" i="4"/>
  <c r="E260" i="4"/>
  <c r="C504" i="11"/>
  <c r="A504" i="11"/>
  <c r="C496" i="11"/>
  <c r="A496" i="11"/>
  <c r="J504" i="11"/>
  <c r="F307" i="1" s="1"/>
  <c r="I307" i="1" s="1"/>
  <c r="J358" i="11"/>
  <c r="J355" i="11"/>
  <c r="J352" i="11"/>
  <c r="J349" i="11"/>
  <c r="C328" i="11"/>
  <c r="A328" i="11"/>
  <c r="J328" i="11"/>
  <c r="F242" i="1" s="1"/>
  <c r="J317" i="11"/>
  <c r="C317" i="11"/>
  <c r="A317" i="11"/>
  <c r="C316" i="11"/>
  <c r="A248" i="11"/>
  <c r="A240" i="11"/>
  <c r="A224" i="11"/>
  <c r="A214" i="11"/>
  <c r="A206" i="11"/>
  <c r="A199" i="11"/>
  <c r="A186" i="11"/>
  <c r="A183" i="11"/>
  <c r="A173" i="11"/>
  <c r="A163" i="11"/>
  <c r="A148" i="11"/>
  <c r="A108" i="11"/>
  <c r="A93" i="11"/>
  <c r="A74" i="11"/>
  <c r="A66" i="11"/>
  <c r="A62" i="11"/>
  <c r="J184" i="11"/>
  <c r="J183" i="11" s="1"/>
  <c r="F47" i="1" s="1"/>
  <c r="I47" i="1" s="1"/>
  <c r="C183" i="11"/>
  <c r="J9" i="11"/>
  <c r="F11" i="1" s="1"/>
  <c r="I11" i="1" s="1"/>
  <c r="J12" i="11"/>
  <c r="F12" i="1" s="1"/>
  <c r="I12" i="1" s="1"/>
  <c r="A273" i="4"/>
  <c r="A274" i="4" s="1"/>
  <c r="A275" i="4" s="1"/>
  <c r="H104" i="3"/>
  <c r="G101" i="3" s="1"/>
  <c r="H101" i="3" s="1"/>
  <c r="I174" i="1" l="1"/>
  <c r="I165" i="1" s="1"/>
  <c r="G138" i="1"/>
  <c r="I138" i="1" s="1"/>
  <c r="G79" i="1"/>
  <c r="H328" i="3"/>
  <c r="G314" i="1" s="1"/>
  <c r="G317" i="1"/>
  <c r="H324" i="3"/>
  <c r="G313" i="1" s="1"/>
  <c r="F241" i="1"/>
  <c r="G298" i="1"/>
  <c r="G270" i="1"/>
  <c r="G89" i="1"/>
  <c r="G201" i="3"/>
  <c r="G292" i="1"/>
  <c r="G296" i="1"/>
  <c r="G301" i="1"/>
  <c r="G290" i="1"/>
  <c r="G294" i="1"/>
  <c r="G303" i="1"/>
  <c r="G300" i="1"/>
  <c r="G305" i="1"/>
  <c r="G302" i="1"/>
  <c r="G297" i="1"/>
  <c r="G295" i="1"/>
  <c r="G293" i="1"/>
  <c r="G291" i="1"/>
  <c r="G289" i="1"/>
  <c r="G299" i="1"/>
  <c r="G304" i="1"/>
  <c r="J496" i="11"/>
  <c r="F306" i="1" s="1"/>
  <c r="I306" i="1" s="1"/>
  <c r="B108" i="2"/>
  <c r="B102" i="2"/>
  <c r="B99" i="2"/>
  <c r="B96" i="2"/>
  <c r="B93" i="2"/>
  <c r="B90" i="2"/>
  <c r="B87" i="2"/>
  <c r="B84" i="2"/>
  <c r="B81" i="2"/>
  <c r="B78" i="2"/>
  <c r="B75" i="2"/>
  <c r="B72" i="2"/>
  <c r="J84" i="2"/>
  <c r="J81" i="2"/>
  <c r="J78" i="2"/>
  <c r="J75" i="2"/>
  <c r="J72" i="2"/>
  <c r="B60" i="2"/>
  <c r="J60" i="2"/>
  <c r="B57" i="2"/>
  <c r="B54" i="2"/>
  <c r="B51" i="2"/>
  <c r="J57" i="2"/>
  <c r="J54" i="2"/>
  <c r="B48" i="2"/>
  <c r="B45" i="2"/>
  <c r="B42" i="2"/>
  <c r="B39" i="2"/>
  <c r="J45" i="2"/>
  <c r="J42" i="2"/>
  <c r="J39" i="2"/>
  <c r="B36" i="2"/>
  <c r="B33" i="2"/>
  <c r="B30" i="2"/>
  <c r="B27" i="2"/>
  <c r="B12" i="2"/>
  <c r="B9" i="2"/>
  <c r="H281" i="3"/>
  <c r="H280" i="3"/>
  <c r="F265" i="3"/>
  <c r="H265" i="3" s="1"/>
  <c r="C275" i="3"/>
  <c r="D275" i="3"/>
  <c r="E275" i="3"/>
  <c r="A275" i="3"/>
  <c r="F276" i="3"/>
  <c r="H276" i="3" s="1"/>
  <c r="H277" i="3"/>
  <c r="H267" i="3"/>
  <c r="F264" i="3"/>
  <c r="H264" i="3" s="1"/>
  <c r="F261" i="3"/>
  <c r="H261" i="3" s="1"/>
  <c r="F260" i="3"/>
  <c r="H260" i="3" s="1"/>
  <c r="C259" i="3"/>
  <c r="D259" i="3"/>
  <c r="E259" i="3"/>
  <c r="A259" i="3"/>
  <c r="H266" i="3"/>
  <c r="H263" i="3"/>
  <c r="H262" i="3"/>
  <c r="D254" i="3"/>
  <c r="D240" i="3"/>
  <c r="D239" i="3"/>
  <c r="D255" i="3"/>
  <c r="C244" i="3"/>
  <c r="D244" i="3"/>
  <c r="E244" i="3"/>
  <c r="A244" i="3"/>
  <c r="F253" i="3"/>
  <c r="H253" i="3" s="1"/>
  <c r="F252" i="3"/>
  <c r="H252" i="3" s="1"/>
  <c r="F251" i="3"/>
  <c r="H251" i="3" s="1"/>
  <c r="F250" i="3"/>
  <c r="H250" i="3" s="1"/>
  <c r="H249" i="3"/>
  <c r="H248" i="3"/>
  <c r="H247" i="3"/>
  <c r="F246" i="3"/>
  <c r="H246" i="3" s="1"/>
  <c r="F245" i="3"/>
  <c r="H245" i="3" s="1"/>
  <c r="H232" i="3"/>
  <c r="H233" i="3"/>
  <c r="H234" i="3"/>
  <c r="F238" i="3"/>
  <c r="H238" i="3" s="1"/>
  <c r="F237" i="3"/>
  <c r="H237" i="3" s="1"/>
  <c r="F236" i="3"/>
  <c r="H236" i="3" s="1"/>
  <c r="F235" i="3"/>
  <c r="H235" i="3" s="1"/>
  <c r="F231" i="3"/>
  <c r="H231" i="3" s="1"/>
  <c r="F230" i="3"/>
  <c r="H230" i="3" s="1"/>
  <c r="C229" i="3"/>
  <c r="D229" i="3"/>
  <c r="E229" i="3"/>
  <c r="A229" i="3"/>
  <c r="F224" i="3"/>
  <c r="H224" i="3" s="1"/>
  <c r="F223" i="3"/>
  <c r="H223" i="3" s="1"/>
  <c r="D225" i="3"/>
  <c r="H221" i="3"/>
  <c r="H222" i="3"/>
  <c r="F220" i="3"/>
  <c r="H220" i="3" s="1"/>
  <c r="F219" i="3"/>
  <c r="H219" i="3" s="1"/>
  <c r="F218" i="3"/>
  <c r="H218" i="3" s="1"/>
  <c r="F217" i="3"/>
  <c r="H217" i="3" s="1"/>
  <c r="F216" i="3"/>
  <c r="H216" i="3" s="1"/>
  <c r="C215" i="3"/>
  <c r="D215" i="3"/>
  <c r="E215" i="3"/>
  <c r="A215" i="3"/>
  <c r="D200" i="3"/>
  <c r="D206" i="3"/>
  <c r="C203" i="3"/>
  <c r="D203" i="3"/>
  <c r="E203" i="3"/>
  <c r="A203" i="3"/>
  <c r="H205" i="3"/>
  <c r="H204" i="3"/>
  <c r="H211" i="3"/>
  <c r="H210" i="3"/>
  <c r="C197" i="3"/>
  <c r="D197" i="3"/>
  <c r="E197" i="3"/>
  <c r="A197" i="3"/>
  <c r="H198" i="3"/>
  <c r="C193" i="3"/>
  <c r="D193" i="3"/>
  <c r="E193" i="3"/>
  <c r="A193" i="3"/>
  <c r="C189" i="3"/>
  <c r="D189" i="3"/>
  <c r="E189" i="3"/>
  <c r="A189" i="3"/>
  <c r="D195" i="3"/>
  <c r="D191" i="3"/>
  <c r="H194" i="3"/>
  <c r="H190" i="3"/>
  <c r="D187" i="3"/>
  <c r="C185" i="3"/>
  <c r="D185" i="3"/>
  <c r="E185" i="3"/>
  <c r="A185" i="3"/>
  <c r="H186" i="3"/>
  <c r="H181" i="3"/>
  <c r="H182" i="3"/>
  <c r="C179" i="3"/>
  <c r="D179" i="3"/>
  <c r="E179" i="3"/>
  <c r="A179" i="3"/>
  <c r="H183" i="3"/>
  <c r="H180" i="3"/>
  <c r="A267" i="4"/>
  <c r="A268" i="4" s="1"/>
  <c r="A269" i="4" s="1"/>
  <c r="G255" i="3"/>
  <c r="A261" i="4"/>
  <c r="A262" i="4" s="1"/>
  <c r="A263" i="4" s="1"/>
  <c r="A255" i="4"/>
  <c r="A256" i="4" s="1"/>
  <c r="A257" i="4" s="1"/>
  <c r="A207" i="4"/>
  <c r="A208" i="4" s="1"/>
  <c r="A209" i="4" s="1"/>
  <c r="A225" i="4"/>
  <c r="A226" i="4" s="1"/>
  <c r="A227" i="4" s="1"/>
  <c r="A219" i="4"/>
  <c r="A220" i="4" s="1"/>
  <c r="A221" i="4" s="1"/>
  <c r="A213" i="4"/>
  <c r="A214" i="4" s="1"/>
  <c r="A215" i="4" s="1"/>
  <c r="A249" i="4"/>
  <c r="A250" i="4" s="1"/>
  <c r="A251" i="4" s="1"/>
  <c r="G240" i="3"/>
  <c r="A243" i="4"/>
  <c r="A244" i="4" s="1"/>
  <c r="A245" i="4" s="1"/>
  <c r="G195" i="3"/>
  <c r="A237" i="4"/>
  <c r="A238" i="4" s="1"/>
  <c r="A239" i="4" s="1"/>
  <c r="G191" i="3"/>
  <c r="A231" i="4"/>
  <c r="A232" i="4" s="1"/>
  <c r="A233" i="4" s="1"/>
  <c r="A201" i="4"/>
  <c r="A202" i="4" s="1"/>
  <c r="A203" i="4" s="1"/>
  <c r="B31" i="6"/>
  <c r="B28" i="6"/>
  <c r="B25" i="6"/>
  <c r="B22" i="6"/>
  <c r="B19" i="6"/>
  <c r="B16" i="6"/>
  <c r="B13" i="6"/>
  <c r="B10" i="6"/>
  <c r="B7" i="6"/>
  <c r="J564" i="11"/>
  <c r="J563" i="11" s="1"/>
  <c r="J561" i="11"/>
  <c r="J560" i="11" s="1"/>
  <c r="J541" i="11"/>
  <c r="C444" i="11"/>
  <c r="D83" i="3"/>
  <c r="C159" i="3"/>
  <c r="D159" i="3"/>
  <c r="E159" i="3"/>
  <c r="A159" i="3"/>
  <c r="H162" i="3"/>
  <c r="H161" i="3"/>
  <c r="H160" i="3"/>
  <c r="I314" i="1" l="1"/>
  <c r="I313" i="1"/>
  <c r="I79" i="1"/>
  <c r="I89" i="1"/>
  <c r="I270" i="1"/>
  <c r="I301" i="1"/>
  <c r="I303" i="1"/>
  <c r="I299" i="1"/>
  <c r="I302" i="1"/>
  <c r="I300" i="1"/>
  <c r="I304" i="1"/>
  <c r="I305" i="1"/>
  <c r="F317" i="1"/>
  <c r="I311" i="1"/>
  <c r="G259" i="3"/>
  <c r="H259" i="3" s="1"/>
  <c r="G260" i="1" s="1"/>
  <c r="G279" i="3"/>
  <c r="H279" i="3" s="1"/>
  <c r="G263" i="1" s="1"/>
  <c r="E254" i="4"/>
  <c r="G225" i="3" s="1"/>
  <c r="G275" i="3"/>
  <c r="H275" i="3" s="1"/>
  <c r="G262" i="1" s="1"/>
  <c r="G261" i="1"/>
  <c r="G254" i="3"/>
  <c r="H254" i="3" s="1"/>
  <c r="G239" i="3"/>
  <c r="H239" i="3" s="1"/>
  <c r="H255" i="3"/>
  <c r="H240" i="3"/>
  <c r="H207" i="3"/>
  <c r="H213" i="3"/>
  <c r="G206" i="3"/>
  <c r="H199" i="3"/>
  <c r="H195" i="3"/>
  <c r="H191" i="3"/>
  <c r="G189" i="3" s="1"/>
  <c r="H189" i="3" s="1"/>
  <c r="G187" i="3"/>
  <c r="H187" i="3" s="1"/>
  <c r="G179" i="3"/>
  <c r="H179" i="3" s="1"/>
  <c r="G248" i="1" s="1"/>
  <c r="G200" i="3"/>
  <c r="H200" i="3" s="1"/>
  <c r="G241" i="1"/>
  <c r="G242" i="1"/>
  <c r="G159" i="3"/>
  <c r="H159" i="3" s="1"/>
  <c r="G214" i="1" s="1"/>
  <c r="C96" i="3"/>
  <c r="D96" i="3"/>
  <c r="E96" i="3"/>
  <c r="A96" i="3"/>
  <c r="H99" i="3"/>
  <c r="H98" i="3"/>
  <c r="H97" i="3"/>
  <c r="I214" i="1" l="1"/>
  <c r="I248" i="1"/>
  <c r="I261" i="1"/>
  <c r="I260" i="1"/>
  <c r="I263" i="1"/>
  <c r="I242" i="1"/>
  <c r="I262" i="1"/>
  <c r="I241" i="1"/>
  <c r="I211" i="1"/>
  <c r="I184" i="1" s="1"/>
  <c r="I132" i="1"/>
  <c r="G252" i="1"/>
  <c r="G244" i="3"/>
  <c r="H244" i="3" s="1"/>
  <c r="G229" i="3"/>
  <c r="H229" i="3" s="1"/>
  <c r="H225" i="3"/>
  <c r="H212" i="3"/>
  <c r="H206" i="3"/>
  <c r="H201" i="3"/>
  <c r="G197" i="3" s="1"/>
  <c r="H197" i="3" s="1"/>
  <c r="G193" i="3"/>
  <c r="H193" i="3" s="1"/>
  <c r="G185" i="3"/>
  <c r="H185" i="3" s="1"/>
  <c r="G96" i="3"/>
  <c r="H96" i="3" s="1"/>
  <c r="I240" i="1" l="1"/>
  <c r="I252" i="1"/>
  <c r="I176" i="1"/>
  <c r="I128" i="1" s="1"/>
  <c r="G71" i="1"/>
  <c r="G258" i="1"/>
  <c r="G259" i="1"/>
  <c r="G254" i="1"/>
  <c r="G251" i="1"/>
  <c r="G215" i="3"/>
  <c r="H215" i="3" s="1"/>
  <c r="G253" i="1"/>
  <c r="G203" i="3"/>
  <c r="H203" i="3" s="1"/>
  <c r="G209" i="3"/>
  <c r="H209" i="3" s="1"/>
  <c r="A93" i="4"/>
  <c r="A94" i="4" s="1"/>
  <c r="A95" i="4" s="1"/>
  <c r="I71" i="1" l="1"/>
  <c r="I254" i="1"/>
  <c r="I253" i="1"/>
  <c r="I259" i="1"/>
  <c r="I258" i="1"/>
  <c r="I251" i="1"/>
  <c r="I64" i="1"/>
  <c r="I84" i="1"/>
  <c r="G257" i="1"/>
  <c r="G255" i="1"/>
  <c r="G256" i="1"/>
  <c r="A88" i="4"/>
  <c r="I256" i="1" l="1"/>
  <c r="I255" i="1"/>
  <c r="I257" i="1"/>
  <c r="I103" i="1"/>
  <c r="A89" i="4"/>
  <c r="A90" i="4" s="1"/>
  <c r="E87" i="4"/>
  <c r="E82" i="4"/>
  <c r="E72" i="4"/>
  <c r="E67" i="4"/>
  <c r="B77" i="4"/>
  <c r="A83" i="4"/>
  <c r="A84" i="4" s="1"/>
  <c r="A85" i="4" s="1"/>
  <c r="A78" i="4"/>
  <c r="A79" i="4" s="1"/>
  <c r="A80" i="4" s="1"/>
  <c r="B72" i="4"/>
  <c r="A73" i="4"/>
  <c r="A74" i="4" s="1"/>
  <c r="A75" i="4" s="1"/>
  <c r="B67" i="4"/>
  <c r="F126" i="3"/>
  <c r="H126" i="3" s="1"/>
  <c r="F121" i="3"/>
  <c r="H121" i="3" s="1"/>
  <c r="H125" i="3"/>
  <c r="H120" i="3"/>
  <c r="H115" i="3"/>
  <c r="B56" i="4"/>
  <c r="B50" i="4"/>
  <c r="C114" i="3"/>
  <c r="D114" i="3"/>
  <c r="A114" i="3"/>
  <c r="A35" i="3"/>
  <c r="C45" i="3"/>
  <c r="D45" i="3"/>
  <c r="A45" i="3"/>
  <c r="F53" i="3"/>
  <c r="D53" i="3"/>
  <c r="H51" i="3"/>
  <c r="H50" i="3"/>
  <c r="H49" i="3"/>
  <c r="H48" i="3"/>
  <c r="H47" i="3"/>
  <c r="H46" i="3"/>
  <c r="C35" i="3"/>
  <c r="D35" i="3"/>
  <c r="D43" i="3"/>
  <c r="H41" i="3"/>
  <c r="H40" i="3"/>
  <c r="H39" i="3"/>
  <c r="H38" i="3"/>
  <c r="H37" i="3"/>
  <c r="H36" i="3"/>
  <c r="G43" i="3"/>
  <c r="I245" i="1" l="1"/>
  <c r="G299" i="3"/>
  <c r="H299" i="3" s="1"/>
  <c r="G296" i="3" s="1"/>
  <c r="H296" i="3" s="1"/>
  <c r="G271" i="1"/>
  <c r="G268" i="1"/>
  <c r="E50" i="4"/>
  <c r="E56" i="4"/>
  <c r="G269" i="1"/>
  <c r="G53" i="3"/>
  <c r="H53" i="3" s="1"/>
  <c r="I268" i="1" l="1"/>
  <c r="I269" i="1"/>
  <c r="I271" i="1"/>
  <c r="G286" i="1"/>
  <c r="I286" i="1" s="1"/>
  <c r="H43" i="3"/>
  <c r="I285" i="1" l="1"/>
  <c r="B26" i="4"/>
  <c r="D52" i="3" s="1"/>
  <c r="B20" i="4"/>
  <c r="D42" i="3" s="1"/>
  <c r="G83" i="3"/>
  <c r="H88" i="3"/>
  <c r="H87" i="3"/>
  <c r="C85" i="3"/>
  <c r="D85" i="3"/>
  <c r="B194" i="4"/>
  <c r="B188" i="4"/>
  <c r="B182" i="4"/>
  <c r="B176" i="4"/>
  <c r="B170" i="4"/>
  <c r="B164" i="4"/>
  <c r="B158" i="4"/>
  <c r="B152" i="4"/>
  <c r="B146" i="4"/>
  <c r="B140" i="4"/>
  <c r="B134" i="4"/>
  <c r="B128" i="4"/>
  <c r="B122" i="4"/>
  <c r="B116" i="4"/>
  <c r="B110" i="4"/>
  <c r="B104" i="4"/>
  <c r="B98" i="4"/>
  <c r="D13" i="3"/>
  <c r="C13" i="3"/>
  <c r="H14" i="3"/>
  <c r="G13" i="3" s="1"/>
  <c r="H13" i="3" s="1"/>
  <c r="G31" i="1" s="1"/>
  <c r="D8" i="3"/>
  <c r="C8" i="3"/>
  <c r="J493" i="11"/>
  <c r="J490" i="11"/>
  <c r="J487" i="11"/>
  <c r="J484" i="11"/>
  <c r="J481" i="11"/>
  <c r="J478" i="11"/>
  <c r="J475" i="11"/>
  <c r="J472" i="11"/>
  <c r="J469" i="11"/>
  <c r="J466" i="11"/>
  <c r="J463" i="11"/>
  <c r="J460" i="11"/>
  <c r="J457" i="11"/>
  <c r="F293" i="1" s="1"/>
  <c r="I293" i="1" s="1"/>
  <c r="J454" i="11"/>
  <c r="F292" i="1" s="1"/>
  <c r="I292" i="1" s="1"/>
  <c r="J451" i="11"/>
  <c r="F291" i="1" s="1"/>
  <c r="I291" i="1" s="1"/>
  <c r="J448" i="11"/>
  <c r="F290" i="1" s="1"/>
  <c r="I290" i="1" s="1"/>
  <c r="J445" i="11"/>
  <c r="F289" i="1" s="1"/>
  <c r="I289" i="1" s="1"/>
  <c r="J432" i="11"/>
  <c r="J431" i="11"/>
  <c r="J430" i="11"/>
  <c r="J429" i="11"/>
  <c r="J428" i="11"/>
  <c r="J427" i="11"/>
  <c r="J426" i="11"/>
  <c r="J425" i="11"/>
  <c r="J424" i="11"/>
  <c r="J423" i="11"/>
  <c r="J422" i="11"/>
  <c r="J421" i="11"/>
  <c r="J420" i="11"/>
  <c r="J419" i="11"/>
  <c r="J418" i="11"/>
  <c r="J417" i="11"/>
  <c r="J416" i="11"/>
  <c r="J122" i="11"/>
  <c r="J289" i="11"/>
  <c r="J404" i="11"/>
  <c r="J403" i="11"/>
  <c r="J402" i="11"/>
  <c r="J401" i="11"/>
  <c r="J400" i="11"/>
  <c r="J399" i="11"/>
  <c r="J398" i="11"/>
  <c r="J397" i="11"/>
  <c r="J396" i="11"/>
  <c r="J395" i="11"/>
  <c r="J394" i="11"/>
  <c r="J393" i="11"/>
  <c r="J392" i="11"/>
  <c r="J391" i="11"/>
  <c r="J390" i="11"/>
  <c r="J389" i="11"/>
  <c r="J413" i="11"/>
  <c r="J412" i="11"/>
  <c r="J411" i="11"/>
  <c r="J410" i="11"/>
  <c r="J409" i="11"/>
  <c r="J408" i="11"/>
  <c r="J386" i="11"/>
  <c r="J385" i="11"/>
  <c r="J384" i="11"/>
  <c r="J383" i="11"/>
  <c r="J382" i="11"/>
  <c r="J381" i="11"/>
  <c r="C273" i="11"/>
  <c r="J277" i="11"/>
  <c r="J282" i="11"/>
  <c r="J288" i="11"/>
  <c r="J287" i="11"/>
  <c r="J286" i="11"/>
  <c r="J285" i="11"/>
  <c r="J284" i="11"/>
  <c r="J283" i="11"/>
  <c r="J281" i="11"/>
  <c r="J280" i="11"/>
  <c r="J279" i="11"/>
  <c r="J278" i="11"/>
  <c r="J276" i="11"/>
  <c r="J274" i="11"/>
  <c r="C256" i="11"/>
  <c r="J149" i="11"/>
  <c r="J238" i="11"/>
  <c r="J237" i="11"/>
  <c r="J236" i="11"/>
  <c r="J235" i="11"/>
  <c r="J234" i="11"/>
  <c r="J253" i="11"/>
  <c r="J252" i="11"/>
  <c r="J232" i="11"/>
  <c r="J231" i="11"/>
  <c r="J230" i="11"/>
  <c r="J229" i="11"/>
  <c r="J228" i="11"/>
  <c r="J227" i="11"/>
  <c r="J226" i="11"/>
  <c r="J225" i="11"/>
  <c r="J246" i="11"/>
  <c r="J245" i="11"/>
  <c r="J244" i="11"/>
  <c r="J243" i="11"/>
  <c r="J242" i="11"/>
  <c r="J241" i="11"/>
  <c r="J209" i="11"/>
  <c r="J210" i="11"/>
  <c r="J211" i="11"/>
  <c r="J212" i="11"/>
  <c r="J208" i="11"/>
  <c r="J222" i="11"/>
  <c r="J221" i="11"/>
  <c r="J220" i="11"/>
  <c r="J219" i="11"/>
  <c r="J218" i="11"/>
  <c r="J217" i="11"/>
  <c r="J251" i="11"/>
  <c r="J250" i="11"/>
  <c r="J249" i="11"/>
  <c r="C248" i="11"/>
  <c r="J207" i="11"/>
  <c r="J216" i="11"/>
  <c r="J215" i="11"/>
  <c r="C148" i="11"/>
  <c r="J181" i="11"/>
  <c r="J177" i="11"/>
  <c r="J176" i="11"/>
  <c r="J175" i="11"/>
  <c r="J171" i="11"/>
  <c r="J167" i="11"/>
  <c r="J166" i="11"/>
  <c r="J165" i="11"/>
  <c r="J161" i="11"/>
  <c r="J160" i="11"/>
  <c r="J199" i="11"/>
  <c r="F49" i="1" s="1"/>
  <c r="J159" i="11"/>
  <c r="J158" i="11"/>
  <c r="J157" i="11"/>
  <c r="J156" i="11"/>
  <c r="C199" i="11"/>
  <c r="C186" i="11"/>
  <c r="C163" i="11"/>
  <c r="J88" i="11"/>
  <c r="F32" i="1" s="1"/>
  <c r="I32" i="1" s="1"/>
  <c r="J121" i="11"/>
  <c r="J120" i="11"/>
  <c r="J119" i="11"/>
  <c r="J118" i="11"/>
  <c r="J117" i="11"/>
  <c r="J116" i="11"/>
  <c r="J115" i="11"/>
  <c r="J114" i="11"/>
  <c r="J110" i="11"/>
  <c r="J109" i="11"/>
  <c r="J95" i="11"/>
  <c r="J93" i="11" s="1"/>
  <c r="F33" i="1" s="1"/>
  <c r="I33" i="1" s="1"/>
  <c r="J72" i="11"/>
  <c r="J71" i="11"/>
  <c r="J70" i="11"/>
  <c r="J68" i="11"/>
  <c r="J69" i="11"/>
  <c r="J60" i="11"/>
  <c r="J59" i="11"/>
  <c r="J58" i="11"/>
  <c r="J57" i="11"/>
  <c r="J56" i="11"/>
  <c r="J64" i="11"/>
  <c r="J55" i="11"/>
  <c r="J54" i="11"/>
  <c r="J53" i="11"/>
  <c r="J63" i="11"/>
  <c r="C62" i="11"/>
  <c r="J52" i="11"/>
  <c r="J51" i="11"/>
  <c r="J50" i="11"/>
  <c r="J49" i="11"/>
  <c r="J34" i="11"/>
  <c r="J32" i="11" s="1"/>
  <c r="F27" i="1" s="1"/>
  <c r="I27" i="1" s="1"/>
  <c r="J18" i="11"/>
  <c r="J16" i="11" s="1"/>
  <c r="F26" i="1" s="1"/>
  <c r="I26" i="1" s="1"/>
  <c r="C93" i="11"/>
  <c r="A48" i="11"/>
  <c r="A32" i="11"/>
  <c r="A16" i="11"/>
  <c r="J124" i="11"/>
  <c r="C48" i="11"/>
  <c r="C74" i="11"/>
  <c r="C66" i="11"/>
  <c r="C32" i="11"/>
  <c r="C16" i="11"/>
  <c r="C15" i="11"/>
  <c r="C12" i="11"/>
  <c r="C9" i="11"/>
  <c r="C8" i="11"/>
  <c r="F35" i="1" l="1"/>
  <c r="I35" i="1" s="1"/>
  <c r="E20" i="4"/>
  <c r="G42" i="3" s="1"/>
  <c r="H42" i="3" s="1"/>
  <c r="G35" i="3" s="1"/>
  <c r="F294" i="1"/>
  <c r="I294" i="1" s="1"/>
  <c r="F298" i="1"/>
  <c r="I298" i="1" s="1"/>
  <c r="F295" i="1"/>
  <c r="I295" i="1" s="1"/>
  <c r="F296" i="1"/>
  <c r="I296" i="1" s="1"/>
  <c r="F297" i="1"/>
  <c r="I297" i="1" s="1"/>
  <c r="E14" i="4"/>
  <c r="G65" i="3" s="1"/>
  <c r="H65" i="3" s="1"/>
  <c r="G54" i="1" s="1"/>
  <c r="E26" i="4"/>
  <c r="G52" i="3" s="1"/>
  <c r="H52" i="3" s="1"/>
  <c r="G45" i="3" s="1"/>
  <c r="H45" i="3" s="1"/>
  <c r="G122" i="3"/>
  <c r="H122" i="3" s="1"/>
  <c r="J273" i="11"/>
  <c r="F58" i="1" s="1"/>
  <c r="J108" i="11"/>
  <c r="F34" i="1" s="1"/>
  <c r="I34" i="1" s="1"/>
  <c r="J388" i="11"/>
  <c r="F281" i="1" s="1"/>
  <c r="I281" i="1" s="1"/>
  <c r="J380" i="11"/>
  <c r="J148" i="11"/>
  <c r="F40" i="1" s="1"/>
  <c r="I40" i="1" s="1"/>
  <c r="J224" i="11"/>
  <c r="F52" i="1" s="1"/>
  <c r="J248" i="11"/>
  <c r="F54" i="1" s="1"/>
  <c r="J240" i="11"/>
  <c r="F53" i="1" s="1"/>
  <c r="J206" i="11"/>
  <c r="F50" i="1" s="1"/>
  <c r="I50" i="1" s="1"/>
  <c r="J186" i="11"/>
  <c r="F48" i="1" s="1"/>
  <c r="J163" i="11"/>
  <c r="F45" i="1" s="1"/>
  <c r="I45" i="1" s="1"/>
  <c r="J173" i="11"/>
  <c r="F46" i="1" s="1"/>
  <c r="I46" i="1" s="1"/>
  <c r="J74" i="11"/>
  <c r="F31" i="1" s="1"/>
  <c r="I31" i="1" s="1"/>
  <c r="J66" i="11"/>
  <c r="F30" i="1" s="1"/>
  <c r="I30" i="1" s="1"/>
  <c r="J48" i="11"/>
  <c r="F28" i="1" s="1"/>
  <c r="J62" i="11"/>
  <c r="F29" i="1" s="1"/>
  <c r="I29" i="1" s="1"/>
  <c r="J407" i="11"/>
  <c r="F282" i="1" s="1"/>
  <c r="I282" i="1" s="1"/>
  <c r="J346" i="11"/>
  <c r="J256" i="11"/>
  <c r="F57" i="1" s="1"/>
  <c r="J155" i="11"/>
  <c r="F44" i="1" s="1"/>
  <c r="I44" i="1" s="1"/>
  <c r="J131" i="11"/>
  <c r="F39" i="1" s="1"/>
  <c r="I39" i="1" s="1"/>
  <c r="I2" i="11"/>
  <c r="D60" i="3"/>
  <c r="H62" i="3"/>
  <c r="H61" i="3"/>
  <c r="C60" i="3"/>
  <c r="A195" i="4"/>
  <c r="A196" i="4" s="1"/>
  <c r="A197" i="4" s="1"/>
  <c r="B49" i="6"/>
  <c r="B46" i="6"/>
  <c r="B43" i="6"/>
  <c r="B40" i="6"/>
  <c r="B37" i="6"/>
  <c r="B34" i="6"/>
  <c r="C52" i="6"/>
  <c r="C49" i="6"/>
  <c r="C46" i="6"/>
  <c r="C43" i="6"/>
  <c r="C40" i="6"/>
  <c r="A37" i="6"/>
  <c r="C37" i="6" s="1"/>
  <c r="A34" i="6"/>
  <c r="C34" i="6" s="1"/>
  <c r="A31" i="6"/>
  <c r="C31" i="6" s="1"/>
  <c r="A28" i="6"/>
  <c r="C28" i="6" s="1"/>
  <c r="A25" i="6"/>
  <c r="C25" i="6" s="1"/>
  <c r="A22" i="6"/>
  <c r="C22" i="6" s="1"/>
  <c r="A19" i="6"/>
  <c r="C19" i="6" s="1"/>
  <c r="A16" i="6"/>
  <c r="C16" i="6" s="1"/>
  <c r="A13" i="6"/>
  <c r="C13" i="6" s="1"/>
  <c r="A10" i="6"/>
  <c r="C10" i="6" s="1"/>
  <c r="A7" i="6"/>
  <c r="C7" i="6" s="1"/>
  <c r="J108" i="2"/>
  <c r="J102" i="2"/>
  <c r="J99" i="2"/>
  <c r="J96" i="2"/>
  <c r="J51" i="2"/>
  <c r="J48" i="2"/>
  <c r="J30" i="2"/>
  <c r="J33" i="2"/>
  <c r="G16" i="5"/>
  <c r="G12" i="5" s="1"/>
  <c r="P23" i="5" s="1"/>
  <c r="G11" i="5"/>
  <c r="U21" i="5" s="1"/>
  <c r="G10" i="5"/>
  <c r="P21" i="5" s="1"/>
  <c r="G9" i="5"/>
  <c r="K21" i="5" s="1"/>
  <c r="G8" i="5"/>
  <c r="I21" i="5" s="1"/>
  <c r="G7" i="5"/>
  <c r="G21" i="5" s="1"/>
  <c r="S3" i="5"/>
  <c r="S2" i="5"/>
  <c r="I54" i="1" l="1"/>
  <c r="I92" i="1"/>
  <c r="I38" i="1"/>
  <c r="I288" i="1"/>
  <c r="F280" i="1"/>
  <c r="I280" i="1" s="1"/>
  <c r="F273" i="1"/>
  <c r="I273" i="1" s="1"/>
  <c r="G49" i="1"/>
  <c r="J214" i="11"/>
  <c r="F51" i="1" s="1"/>
  <c r="I51" i="1" s="1"/>
  <c r="J415" i="11"/>
  <c r="F283" i="1" s="1"/>
  <c r="I283" i="1" s="1"/>
  <c r="Z21" i="5"/>
  <c r="I49" i="1" l="1"/>
  <c r="F275" i="1"/>
  <c r="I275" i="1" s="1"/>
  <c r="I279" i="1"/>
  <c r="J2" i="1"/>
  <c r="H23" i="1" s="1"/>
  <c r="J23" i="1" s="1"/>
  <c r="H20" i="3"/>
  <c r="G19" i="3" s="1"/>
  <c r="H19" i="3" s="1"/>
  <c r="G36" i="1" s="1"/>
  <c r="J566" i="11"/>
  <c r="F320" i="1" s="1"/>
  <c r="I320" i="1" s="1"/>
  <c r="D2" i="6"/>
  <c r="J2" i="2"/>
  <c r="H2" i="3"/>
  <c r="H36" i="1" l="1"/>
  <c r="J36" i="1" s="1"/>
  <c r="I36" i="1"/>
  <c r="H12" i="1"/>
  <c r="J12" i="1" s="1"/>
  <c r="H18" i="1"/>
  <c r="J18" i="1" s="1"/>
  <c r="H21" i="1"/>
  <c r="J21" i="1" s="1"/>
  <c r="H30" i="1"/>
  <c r="J30" i="1" s="1"/>
  <c r="H33" i="1"/>
  <c r="J33" i="1" s="1"/>
  <c r="H40" i="1"/>
  <c r="J40" i="1" s="1"/>
  <c r="H44" i="1"/>
  <c r="J44" i="1" s="1"/>
  <c r="H66" i="1"/>
  <c r="J66" i="1" s="1"/>
  <c r="H78" i="1"/>
  <c r="J78" i="1" s="1"/>
  <c r="H73" i="1"/>
  <c r="J73" i="1" s="1"/>
  <c r="H94" i="1"/>
  <c r="J94" i="1" s="1"/>
  <c r="H102" i="1"/>
  <c r="J102" i="1" s="1"/>
  <c r="H93" i="1"/>
  <c r="J93" i="1" s="1"/>
  <c r="H109" i="1"/>
  <c r="J109" i="1" s="1"/>
  <c r="H117" i="1"/>
  <c r="J117" i="1" s="1"/>
  <c r="H130" i="1"/>
  <c r="J130" i="1" s="1"/>
  <c r="H135" i="1"/>
  <c r="J135" i="1" s="1"/>
  <c r="H137" i="1"/>
  <c r="J137" i="1" s="1"/>
  <c r="H133" i="1"/>
  <c r="J133" i="1" s="1"/>
  <c r="H147" i="1"/>
  <c r="J147" i="1" s="1"/>
  <c r="H158" i="1"/>
  <c r="J158" i="1" s="1"/>
  <c r="H162" i="1"/>
  <c r="J162" i="1" s="1"/>
  <c r="H161" i="1"/>
  <c r="J161" i="1" s="1"/>
  <c r="H186" i="1"/>
  <c r="J186" i="1" s="1"/>
  <c r="J185" i="1" s="1"/>
  <c r="H193" i="1"/>
  <c r="J193" i="1" s="1"/>
  <c r="H197" i="1"/>
  <c r="J197" i="1" s="1"/>
  <c r="H208" i="1"/>
  <c r="J208" i="1" s="1"/>
  <c r="H215" i="1"/>
  <c r="J215" i="1" s="1"/>
  <c r="H218" i="1"/>
  <c r="J218" i="1" s="1"/>
  <c r="H220" i="1"/>
  <c r="J220" i="1" s="1"/>
  <c r="H223" i="1"/>
  <c r="J223" i="1" s="1"/>
  <c r="H226" i="1"/>
  <c r="J226" i="1" s="1"/>
  <c r="H230" i="1"/>
  <c r="J230" i="1" s="1"/>
  <c r="H232" i="1"/>
  <c r="J232" i="1" s="1"/>
  <c r="H235" i="1"/>
  <c r="J235" i="1" s="1"/>
  <c r="H238" i="1"/>
  <c r="J238" i="1" s="1"/>
  <c r="H243" i="1"/>
  <c r="J243" i="1" s="1"/>
  <c r="H247" i="1"/>
  <c r="J247" i="1" s="1"/>
  <c r="H272" i="1"/>
  <c r="J272" i="1" s="1"/>
  <c r="H20" i="1"/>
  <c r="J20" i="1" s="1"/>
  <c r="H27" i="1"/>
  <c r="J27" i="1" s="1"/>
  <c r="H35" i="1"/>
  <c r="J35" i="1" s="1"/>
  <c r="H50" i="1"/>
  <c r="J50" i="1" s="1"/>
  <c r="H63" i="1"/>
  <c r="J63" i="1" s="1"/>
  <c r="H68" i="1"/>
  <c r="J68" i="1" s="1"/>
  <c r="H65" i="1"/>
  <c r="J65" i="1" s="1"/>
  <c r="H75" i="1"/>
  <c r="J75" i="1" s="1"/>
  <c r="H77" i="1"/>
  <c r="J77" i="1" s="1"/>
  <c r="H86" i="1"/>
  <c r="J86" i="1" s="1"/>
  <c r="H88" i="1"/>
  <c r="J88" i="1" s="1"/>
  <c r="H96" i="1"/>
  <c r="J96" i="1" s="1"/>
  <c r="H99" i="1"/>
  <c r="J99" i="1" s="1"/>
  <c r="H101" i="1"/>
  <c r="J101" i="1" s="1"/>
  <c r="H106" i="1"/>
  <c r="J106" i="1" s="1"/>
  <c r="H108" i="1"/>
  <c r="J108" i="1" s="1"/>
  <c r="H111" i="1"/>
  <c r="J111" i="1" s="1"/>
  <c r="H114" i="1"/>
  <c r="J114" i="1" s="1"/>
  <c r="H116" i="1"/>
  <c r="J116" i="1" s="1"/>
  <c r="H122" i="1"/>
  <c r="J122" i="1" s="1"/>
  <c r="H134" i="1"/>
  <c r="J134" i="1" s="1"/>
  <c r="H140" i="1"/>
  <c r="J140" i="1" s="1"/>
  <c r="H144" i="1"/>
  <c r="J144" i="1" s="1"/>
  <c r="H146" i="1"/>
  <c r="J146" i="1" s="1"/>
  <c r="H142" i="1"/>
  <c r="J142" i="1" s="1"/>
  <c r="H151" i="1"/>
  <c r="J151" i="1" s="1"/>
  <c r="H153" i="1"/>
  <c r="J153" i="1" s="1"/>
  <c r="H164" i="1"/>
  <c r="J164" i="1" s="1"/>
  <c r="H167" i="1"/>
  <c r="J167" i="1" s="1"/>
  <c r="H169" i="1"/>
  <c r="J169" i="1" s="1"/>
  <c r="H179" i="1"/>
  <c r="J179" i="1" s="1"/>
  <c r="H177" i="1"/>
  <c r="J177" i="1" s="1"/>
  <c r="H190" i="1"/>
  <c r="J190" i="1" s="1"/>
  <c r="H192" i="1"/>
  <c r="J192" i="1" s="1"/>
  <c r="H196" i="1"/>
  <c r="J196" i="1" s="1"/>
  <c r="H199" i="1"/>
  <c r="J199" i="1" s="1"/>
  <c r="H202" i="1"/>
  <c r="J202" i="1" s="1"/>
  <c r="H11" i="1"/>
  <c r="J11" i="1" s="1"/>
  <c r="J10" i="1" s="1"/>
  <c r="H17" i="1"/>
  <c r="J17" i="1" s="1"/>
  <c r="H19" i="1"/>
  <c r="J19" i="1" s="1"/>
  <c r="H22" i="1"/>
  <c r="J22" i="1" s="1"/>
  <c r="H29" i="1"/>
  <c r="J29" i="1" s="1"/>
  <c r="H34" i="1"/>
  <c r="J34" i="1" s="1"/>
  <c r="H39" i="1"/>
  <c r="J39" i="1" s="1"/>
  <c r="H74" i="1"/>
  <c r="J74" i="1" s="1"/>
  <c r="H91" i="1"/>
  <c r="J91" i="1" s="1"/>
  <c r="H85" i="1"/>
  <c r="J85" i="1" s="1"/>
  <c r="H98" i="1"/>
  <c r="J98" i="1" s="1"/>
  <c r="H105" i="1"/>
  <c r="J105" i="1" s="1"/>
  <c r="H113" i="1"/>
  <c r="J113" i="1" s="1"/>
  <c r="H131" i="1"/>
  <c r="J131" i="1" s="1"/>
  <c r="H136" i="1"/>
  <c r="J136" i="1" s="1"/>
  <c r="H143" i="1"/>
  <c r="J143" i="1" s="1"/>
  <c r="H148" i="1"/>
  <c r="J148" i="1" s="1"/>
  <c r="H157" i="1"/>
  <c r="J157" i="1" s="1"/>
  <c r="H159" i="1"/>
  <c r="J159" i="1" s="1"/>
  <c r="H155" i="1"/>
  <c r="J155" i="1" s="1"/>
  <c r="H150" i="1"/>
  <c r="J150" i="1" s="1"/>
  <c r="H166" i="1"/>
  <c r="J166" i="1" s="1"/>
  <c r="H182" i="1"/>
  <c r="J182" i="1" s="1"/>
  <c r="H201" i="1"/>
  <c r="J201" i="1" s="1"/>
  <c r="H216" i="1"/>
  <c r="J216" i="1" s="1"/>
  <c r="H222" i="1"/>
  <c r="J222" i="1" s="1"/>
  <c r="H224" i="1"/>
  <c r="J224" i="1" s="1"/>
  <c r="H231" i="1"/>
  <c r="J231" i="1" s="1"/>
  <c r="H234" i="1"/>
  <c r="J234" i="1" s="1"/>
  <c r="H236" i="1"/>
  <c r="J236" i="1" s="1"/>
  <c r="H276" i="1"/>
  <c r="J276" i="1" s="1"/>
  <c r="H281" i="1"/>
  <c r="J281" i="1" s="1"/>
  <c r="H280" i="1"/>
  <c r="J280" i="1" s="1"/>
  <c r="H45" i="1"/>
  <c r="J45" i="1" s="1"/>
  <c r="H97" i="1"/>
  <c r="J97" i="1" s="1"/>
  <c r="H100" i="1"/>
  <c r="J100" i="1" s="1"/>
  <c r="H120" i="1"/>
  <c r="J120" i="1" s="1"/>
  <c r="H156" i="1"/>
  <c r="J156" i="1" s="1"/>
  <c r="H152" i="1"/>
  <c r="J152" i="1" s="1"/>
  <c r="H163" i="1"/>
  <c r="J163" i="1" s="1"/>
  <c r="H170" i="1"/>
  <c r="J170" i="1" s="1"/>
  <c r="H178" i="1"/>
  <c r="J178" i="1" s="1"/>
  <c r="H250" i="1"/>
  <c r="J250" i="1" s="1"/>
  <c r="H318" i="1"/>
  <c r="J318" i="1" s="1"/>
  <c r="H320" i="1"/>
  <c r="J320" i="1" s="1"/>
  <c r="H51" i="1"/>
  <c r="J51" i="1" s="1"/>
  <c r="H76" i="1"/>
  <c r="J76" i="1" s="1"/>
  <c r="H87" i="1"/>
  <c r="J87" i="1" s="1"/>
  <c r="H107" i="1"/>
  <c r="J107" i="1" s="1"/>
  <c r="H115" i="1"/>
  <c r="J115" i="1" s="1"/>
  <c r="H123" i="1"/>
  <c r="J123" i="1" s="1"/>
  <c r="H195" i="1"/>
  <c r="J195" i="1" s="1"/>
  <c r="H200" i="1"/>
  <c r="J200" i="1" s="1"/>
  <c r="H207" i="1"/>
  <c r="J207" i="1" s="1"/>
  <c r="H212" i="1"/>
  <c r="J212" i="1" s="1"/>
  <c r="H246" i="1"/>
  <c r="J246" i="1" s="1"/>
  <c r="H282" i="1"/>
  <c r="J282" i="1" s="1"/>
  <c r="H139" i="1"/>
  <c r="J139" i="1" s="1"/>
  <c r="H198" i="1"/>
  <c r="J198" i="1" s="1"/>
  <c r="H206" i="1"/>
  <c r="J206" i="1" s="1"/>
  <c r="H229" i="1"/>
  <c r="J229" i="1" s="1"/>
  <c r="H237" i="1"/>
  <c r="J237" i="1" s="1"/>
  <c r="H275" i="1"/>
  <c r="J275" i="1" s="1"/>
  <c r="H283" i="1"/>
  <c r="J283" i="1" s="1"/>
  <c r="H47" i="1"/>
  <c r="J47" i="1" s="1"/>
  <c r="H70" i="1"/>
  <c r="J70" i="1" s="1"/>
  <c r="H90" i="1"/>
  <c r="J90" i="1" s="1"/>
  <c r="H95" i="1"/>
  <c r="J95" i="1" s="1"/>
  <c r="H118" i="1"/>
  <c r="J118" i="1" s="1"/>
  <c r="H145" i="1"/>
  <c r="J145" i="1" s="1"/>
  <c r="H168" i="1"/>
  <c r="J168" i="1" s="1"/>
  <c r="H188" i="1"/>
  <c r="J188" i="1" s="1"/>
  <c r="H210" i="1"/>
  <c r="J210" i="1" s="1"/>
  <c r="H221" i="1"/>
  <c r="J221" i="1" s="1"/>
  <c r="H233" i="1"/>
  <c r="J233" i="1" s="1"/>
  <c r="H274" i="1"/>
  <c r="J274" i="1" s="1"/>
  <c r="H26" i="1"/>
  <c r="J26" i="1" s="1"/>
  <c r="H62" i="1"/>
  <c r="J62" i="1" s="1"/>
  <c r="J61" i="1" s="1"/>
  <c r="H112" i="1"/>
  <c r="J112" i="1" s="1"/>
  <c r="H180" i="1"/>
  <c r="J180" i="1" s="1"/>
  <c r="H213" i="1"/>
  <c r="J213" i="1" s="1"/>
  <c r="H249" i="1"/>
  <c r="J249" i="1" s="1"/>
  <c r="H277" i="1"/>
  <c r="J277" i="1" s="1"/>
  <c r="H319" i="1"/>
  <c r="J319" i="1" s="1"/>
  <c r="H16" i="1"/>
  <c r="J16" i="1" s="1"/>
  <c r="H67" i="1"/>
  <c r="J67" i="1" s="1"/>
  <c r="H80" i="1"/>
  <c r="J80" i="1" s="1"/>
  <c r="H110" i="1"/>
  <c r="J110" i="1" s="1"/>
  <c r="H121" i="1"/>
  <c r="J121" i="1" s="1"/>
  <c r="H154" i="1"/>
  <c r="J154" i="1" s="1"/>
  <c r="H191" i="1"/>
  <c r="J191" i="1" s="1"/>
  <c r="H217" i="1"/>
  <c r="J217" i="1" s="1"/>
  <c r="H225" i="1"/>
  <c r="J225" i="1" s="1"/>
  <c r="H228" i="1"/>
  <c r="J228" i="1" s="1"/>
  <c r="H175" i="1"/>
  <c r="J175" i="1" s="1"/>
  <c r="H203" i="1"/>
  <c r="J203" i="1" s="1"/>
  <c r="H171" i="1"/>
  <c r="J171" i="1" s="1"/>
  <c r="H46" i="1"/>
  <c r="J46" i="1" s="1"/>
  <c r="H104" i="1"/>
  <c r="J104" i="1" s="1"/>
  <c r="H264" i="1"/>
  <c r="J264" i="1" s="1"/>
  <c r="H312" i="1"/>
  <c r="J312" i="1" s="1"/>
  <c r="H309" i="1"/>
  <c r="J309" i="1" s="1"/>
  <c r="H273" i="1"/>
  <c r="J273" i="1" s="1"/>
  <c r="H204" i="1"/>
  <c r="J204" i="1" s="1"/>
  <c r="H194" i="1"/>
  <c r="J194" i="1" s="1"/>
  <c r="H219" i="1"/>
  <c r="J219" i="1" s="1"/>
  <c r="H32" i="1"/>
  <c r="J32" i="1" s="1"/>
  <c r="H307" i="1"/>
  <c r="J307" i="1" s="1"/>
  <c r="H306" i="1"/>
  <c r="J306" i="1" s="1"/>
  <c r="H83" i="1"/>
  <c r="J83" i="1" s="1"/>
  <c r="H173" i="1"/>
  <c r="J173" i="1" s="1"/>
  <c r="H82" i="1"/>
  <c r="J82" i="1" s="1"/>
  <c r="H41" i="1"/>
  <c r="J41" i="1" s="1"/>
  <c r="H172" i="1"/>
  <c r="J172" i="1" s="1"/>
  <c r="H308" i="1"/>
  <c r="J308" i="1" s="1"/>
  <c r="H81" i="1"/>
  <c r="J81" i="1" s="1"/>
  <c r="H189" i="1"/>
  <c r="J189" i="1" s="1"/>
  <c r="H69" i="1"/>
  <c r="J69" i="1" s="1"/>
  <c r="H181" i="1"/>
  <c r="J181" i="1" s="1"/>
  <c r="H174" i="1"/>
  <c r="J174" i="1" s="1"/>
  <c r="H138" i="1"/>
  <c r="J138" i="1" s="1"/>
  <c r="H301" i="1"/>
  <c r="J301" i="1" s="1"/>
  <c r="H302" i="1"/>
  <c r="J302" i="1" s="1"/>
  <c r="H293" i="1"/>
  <c r="J293" i="1" s="1"/>
  <c r="H290" i="1"/>
  <c r="J290" i="1" s="1"/>
  <c r="H314" i="1"/>
  <c r="J314" i="1" s="1"/>
  <c r="H79" i="1"/>
  <c r="J79" i="1" s="1"/>
  <c r="H270" i="1"/>
  <c r="J270" i="1" s="1"/>
  <c r="H303" i="1"/>
  <c r="J303" i="1" s="1"/>
  <c r="H299" i="1"/>
  <c r="J299" i="1" s="1"/>
  <c r="H292" i="1"/>
  <c r="J292" i="1" s="1"/>
  <c r="H300" i="1"/>
  <c r="J300" i="1" s="1"/>
  <c r="H295" i="1"/>
  <c r="J295" i="1" s="1"/>
  <c r="H296" i="1"/>
  <c r="J296" i="1" s="1"/>
  <c r="H89" i="1"/>
  <c r="J89" i="1" s="1"/>
  <c r="H297" i="1"/>
  <c r="J297" i="1" s="1"/>
  <c r="H294" i="1"/>
  <c r="J294" i="1" s="1"/>
  <c r="H298" i="1"/>
  <c r="J298" i="1" s="1"/>
  <c r="H305" i="1"/>
  <c r="J305" i="1" s="1"/>
  <c r="H313" i="1"/>
  <c r="J313" i="1" s="1"/>
  <c r="H291" i="1"/>
  <c r="J291" i="1" s="1"/>
  <c r="H304" i="1"/>
  <c r="J304" i="1" s="1"/>
  <c r="H289" i="1"/>
  <c r="J289" i="1" s="1"/>
  <c r="H214" i="1"/>
  <c r="J214" i="1" s="1"/>
  <c r="H261" i="1"/>
  <c r="J261" i="1" s="1"/>
  <c r="H262" i="1"/>
  <c r="J262" i="1" s="1"/>
  <c r="H248" i="1"/>
  <c r="J248" i="1" s="1"/>
  <c r="H241" i="1"/>
  <c r="J241" i="1" s="1"/>
  <c r="H263" i="1"/>
  <c r="J263" i="1" s="1"/>
  <c r="H242" i="1"/>
  <c r="J242" i="1" s="1"/>
  <c r="H260" i="1"/>
  <c r="J260" i="1" s="1"/>
  <c r="H252" i="1"/>
  <c r="J252" i="1" s="1"/>
  <c r="H71" i="1"/>
  <c r="J71" i="1" s="1"/>
  <c r="H253" i="1"/>
  <c r="J253" i="1" s="1"/>
  <c r="H258" i="1"/>
  <c r="J258" i="1" s="1"/>
  <c r="H259" i="1"/>
  <c r="J259" i="1" s="1"/>
  <c r="H254" i="1"/>
  <c r="J254" i="1" s="1"/>
  <c r="H251" i="1"/>
  <c r="J251" i="1" s="1"/>
  <c r="H257" i="1"/>
  <c r="J257" i="1" s="1"/>
  <c r="H256" i="1"/>
  <c r="J256" i="1" s="1"/>
  <c r="H255" i="1"/>
  <c r="J255" i="1" s="1"/>
  <c r="H268" i="1"/>
  <c r="J268" i="1" s="1"/>
  <c r="H271" i="1"/>
  <c r="J271" i="1" s="1"/>
  <c r="H269" i="1"/>
  <c r="J269" i="1" s="1"/>
  <c r="H286" i="1"/>
  <c r="J286" i="1" s="1"/>
  <c r="J285" i="1" s="1"/>
  <c r="H31" i="1"/>
  <c r="J31" i="1" s="1"/>
  <c r="H54" i="1"/>
  <c r="J54" i="1" s="1"/>
  <c r="H49" i="1"/>
  <c r="J49" i="1" s="1"/>
  <c r="I317" i="1"/>
  <c r="I316" i="1" s="1"/>
  <c r="C69" i="2"/>
  <c r="J209" i="1"/>
  <c r="J64" i="1" l="1"/>
  <c r="J227" i="1"/>
  <c r="J165" i="1"/>
  <c r="C63" i="2" s="1"/>
  <c r="J132" i="1"/>
  <c r="J187" i="1"/>
  <c r="J279" i="1"/>
  <c r="J149" i="1"/>
  <c r="J92" i="1"/>
  <c r="J205" i="1"/>
  <c r="C75" i="2" s="1"/>
  <c r="I77" i="2" s="1"/>
  <c r="J245" i="1"/>
  <c r="J141" i="1"/>
  <c r="J129" i="1"/>
  <c r="C48" i="2" s="1"/>
  <c r="I50" i="2" s="1"/>
  <c r="J240" i="1"/>
  <c r="J288" i="1"/>
  <c r="J84" i="1"/>
  <c r="J72" i="1"/>
  <c r="J176" i="1"/>
  <c r="C66" i="2" s="1"/>
  <c r="J103" i="1"/>
  <c r="J211" i="1"/>
  <c r="J160" i="1"/>
  <c r="C60" i="2" s="1"/>
  <c r="I62" i="2" s="1"/>
  <c r="J311" i="1"/>
  <c r="D52" i="6" s="1"/>
  <c r="J38" i="1"/>
  <c r="C27" i="2"/>
  <c r="I29" i="2" s="1"/>
  <c r="H317" i="1"/>
  <c r="J317" i="1" s="1"/>
  <c r="C39" i="2"/>
  <c r="C57" i="2"/>
  <c r="I59" i="2" s="1"/>
  <c r="C54" i="2"/>
  <c r="H71" i="2"/>
  <c r="G71" i="2"/>
  <c r="J71" i="2"/>
  <c r="I71" i="2"/>
  <c r="F71" i="2"/>
  <c r="C81" i="2"/>
  <c r="I83" i="2" s="1"/>
  <c r="C78" i="2"/>
  <c r="J80" i="2" s="1"/>
  <c r="I72" i="1"/>
  <c r="E286" i="3"/>
  <c r="D286" i="3"/>
  <c r="C286" i="3"/>
  <c r="A286" i="3"/>
  <c r="H287" i="3"/>
  <c r="H289" i="3"/>
  <c r="H288" i="3"/>
  <c r="F116" i="3"/>
  <c r="H116" i="3" s="1"/>
  <c r="D119" i="3"/>
  <c r="E119" i="3"/>
  <c r="C119" i="3"/>
  <c r="A119" i="3"/>
  <c r="E114" i="3"/>
  <c r="H86" i="3"/>
  <c r="H81" i="3"/>
  <c r="H82" i="3"/>
  <c r="H80" i="3"/>
  <c r="A79" i="3"/>
  <c r="C79" i="3"/>
  <c r="D79" i="3"/>
  <c r="H57" i="3"/>
  <c r="H58" i="3"/>
  <c r="E8" i="4"/>
  <c r="H35" i="3" s="1"/>
  <c r="H89" i="3"/>
  <c r="C55" i="3"/>
  <c r="D55" i="3"/>
  <c r="A55" i="3"/>
  <c r="I65" i="2" l="1"/>
  <c r="F65" i="2"/>
  <c r="H65" i="2"/>
  <c r="J65" i="2"/>
  <c r="G65" i="2"/>
  <c r="H68" i="2"/>
  <c r="J68" i="2"/>
  <c r="G68" i="2"/>
  <c r="I68" i="2"/>
  <c r="F68" i="2"/>
  <c r="J128" i="1"/>
  <c r="D28" i="6" s="1"/>
  <c r="C105" i="2"/>
  <c r="J184" i="1"/>
  <c r="J316" i="1"/>
  <c r="C99" i="2"/>
  <c r="I101" i="2" s="1"/>
  <c r="C51" i="2"/>
  <c r="I53" i="2" s="1"/>
  <c r="C30" i="2"/>
  <c r="I32" i="2" s="1"/>
  <c r="G48" i="1"/>
  <c r="C96" i="2"/>
  <c r="I98" i="2" s="1"/>
  <c r="C72" i="2"/>
  <c r="I74" i="2" s="1"/>
  <c r="C84" i="2"/>
  <c r="I86" i="2" s="1"/>
  <c r="G80" i="2"/>
  <c r="I80" i="2"/>
  <c r="C33" i="2"/>
  <c r="I35" i="2" s="1"/>
  <c r="C36" i="2"/>
  <c r="I38" i="2" s="1"/>
  <c r="F80" i="2"/>
  <c r="H80" i="2"/>
  <c r="I10" i="1"/>
  <c r="I56" i="2"/>
  <c r="H56" i="2"/>
  <c r="G56" i="2"/>
  <c r="J56" i="2"/>
  <c r="F56" i="2"/>
  <c r="G41" i="2"/>
  <c r="I41" i="2"/>
  <c r="F41" i="2"/>
  <c r="J41" i="2"/>
  <c r="H41" i="2"/>
  <c r="G85" i="3"/>
  <c r="H85" i="3" s="1"/>
  <c r="G58" i="1" s="1"/>
  <c r="G63" i="3"/>
  <c r="G127" i="3"/>
  <c r="G117" i="3"/>
  <c r="H117" i="3" s="1"/>
  <c r="H83" i="3"/>
  <c r="G79" i="3" s="1"/>
  <c r="H79" i="3" s="1"/>
  <c r="G56" i="3"/>
  <c r="H56" i="3" s="1"/>
  <c r="G55" i="3" s="1"/>
  <c r="H55" i="3" s="1"/>
  <c r="G286" i="3"/>
  <c r="H286" i="3" s="1"/>
  <c r="G267" i="1" s="1"/>
  <c r="H50" i="2"/>
  <c r="I58" i="1" l="1"/>
  <c r="H58" i="1"/>
  <c r="J58" i="1" s="1"/>
  <c r="H267" i="1"/>
  <c r="J267" i="1" s="1"/>
  <c r="J266" i="1" s="1"/>
  <c r="I267" i="1"/>
  <c r="D55" i="6"/>
  <c r="H48" i="1"/>
  <c r="J48" i="1" s="1"/>
  <c r="I48" i="1"/>
  <c r="J107" i="2"/>
  <c r="I107" i="2"/>
  <c r="H107" i="2"/>
  <c r="G107" i="2"/>
  <c r="F107" i="2"/>
  <c r="G57" i="1"/>
  <c r="G52" i="1"/>
  <c r="F74" i="2"/>
  <c r="J74" i="2"/>
  <c r="G74" i="2"/>
  <c r="H74" i="2"/>
  <c r="D43" i="6"/>
  <c r="C90" i="2"/>
  <c r="I92" i="2" s="1"/>
  <c r="C87" i="2"/>
  <c r="I89" i="2" s="1"/>
  <c r="H38" i="2"/>
  <c r="C108" i="2"/>
  <c r="I110" i="2" s="1"/>
  <c r="H101" i="2"/>
  <c r="H127" i="3"/>
  <c r="G124" i="3" s="1"/>
  <c r="H8" i="3"/>
  <c r="G28" i="1" s="1"/>
  <c r="D37" i="6"/>
  <c r="H32" i="2"/>
  <c r="G32" i="2"/>
  <c r="J32" i="2"/>
  <c r="F32" i="2"/>
  <c r="C102" i="2"/>
  <c r="I104" i="2" s="1"/>
  <c r="O5" i="3"/>
  <c r="N5" i="3"/>
  <c r="M5" i="3"/>
  <c r="H28" i="1" l="1"/>
  <c r="J28" i="1" s="1"/>
  <c r="J25" i="1" s="1"/>
  <c r="I28" i="1"/>
  <c r="H52" i="1"/>
  <c r="J52" i="1" s="1"/>
  <c r="I52" i="1"/>
  <c r="I57" i="1"/>
  <c r="I56" i="1" s="1"/>
  <c r="H57" i="1"/>
  <c r="J57" i="1" s="1"/>
  <c r="J56" i="1" s="1"/>
  <c r="G126" i="1"/>
  <c r="I25" i="1"/>
  <c r="H92" i="2"/>
  <c r="D34" i="6"/>
  <c r="D7" i="6"/>
  <c r="C9" i="2"/>
  <c r="I11" i="2" s="1"/>
  <c r="D16" i="6"/>
  <c r="C18" i="2"/>
  <c r="I20" i="2" s="1"/>
  <c r="H124" i="3"/>
  <c r="I126" i="1" l="1"/>
  <c r="H126" i="1"/>
  <c r="J126" i="1" s="1"/>
  <c r="D13" i="6"/>
  <c r="C15" i="2"/>
  <c r="I17" i="2" s="1"/>
  <c r="H20" i="2"/>
  <c r="G110" i="2"/>
  <c r="D49" i="6"/>
  <c r="B24" i="2"/>
  <c r="B21" i="2"/>
  <c r="B18" i="2"/>
  <c r="B15" i="2"/>
  <c r="A9" i="2"/>
  <c r="A21" i="2"/>
  <c r="A18" i="2"/>
  <c r="A15" i="2"/>
  <c r="J93" i="2"/>
  <c r="J90" i="2"/>
  <c r="J87" i="2"/>
  <c r="J36" i="2"/>
  <c r="J27" i="2"/>
  <c r="J24" i="2"/>
  <c r="J21" i="2"/>
  <c r="J18" i="2"/>
  <c r="J15" i="2"/>
  <c r="J12" i="2"/>
  <c r="J9" i="2"/>
  <c r="F8" i="2"/>
  <c r="G8" i="2" s="1"/>
  <c r="H8" i="2" s="1"/>
  <c r="I8" i="2" l="1"/>
  <c r="F110" i="2"/>
  <c r="H110" i="2"/>
  <c r="J110" i="2"/>
  <c r="H104" i="2"/>
  <c r="D46" i="6"/>
  <c r="J101" i="2"/>
  <c r="G101" i="2"/>
  <c r="F101" i="2"/>
  <c r="G50" i="2"/>
  <c r="J50" i="2"/>
  <c r="F50" i="2"/>
  <c r="F92" i="2" l="1"/>
  <c r="G92" i="2"/>
  <c r="J92" i="2"/>
  <c r="G104" i="2" l="1"/>
  <c r="J104" i="2"/>
  <c r="F104" i="2"/>
  <c r="H17" i="2" l="1"/>
  <c r="F20" i="2" l="1"/>
  <c r="G20" i="2"/>
  <c r="J20" i="2"/>
  <c r="F17" i="2"/>
  <c r="G17" i="2"/>
  <c r="J17" i="2"/>
  <c r="G11" i="2" l="1"/>
  <c r="J11" i="2"/>
  <c r="H11" i="2"/>
  <c r="F11" i="2"/>
  <c r="F38" i="2" l="1"/>
  <c r="G38" i="2"/>
  <c r="J38" i="2"/>
  <c r="H29" i="2" l="1"/>
  <c r="J29" i="2" l="1"/>
  <c r="G29" i="2"/>
  <c r="F29" i="2"/>
  <c r="I266" i="1" l="1"/>
  <c r="C93" i="2" l="1"/>
  <c r="G98" i="2"/>
  <c r="D40" i="6" l="1"/>
  <c r="I95" i="2"/>
  <c r="F95" i="2"/>
  <c r="J95" i="2"/>
  <c r="H95" i="2"/>
  <c r="G95" i="2"/>
  <c r="F98" i="2"/>
  <c r="J98" i="2"/>
  <c r="H98" i="2"/>
  <c r="G119" i="3" l="1"/>
  <c r="H119" i="3" s="1"/>
  <c r="G125" i="1" l="1"/>
  <c r="G114" i="3"/>
  <c r="H114" i="3" s="1"/>
  <c r="H63" i="3"/>
  <c r="G60" i="3" s="1"/>
  <c r="H60" i="3" s="1"/>
  <c r="H125" i="1" l="1"/>
  <c r="J125" i="1" s="1"/>
  <c r="I125" i="1"/>
  <c r="G124" i="1"/>
  <c r="G53" i="1"/>
  <c r="D31" i="6"/>
  <c r="H89" i="2"/>
  <c r="F89" i="2"/>
  <c r="J89" i="2"/>
  <c r="G89" i="2"/>
  <c r="H35" i="2"/>
  <c r="G35" i="2"/>
  <c r="F35" i="2"/>
  <c r="J35" i="2"/>
  <c r="H53" i="1" l="1"/>
  <c r="J53" i="1" s="1"/>
  <c r="J43" i="1" s="1"/>
  <c r="I53" i="1"/>
  <c r="I43" i="1" s="1"/>
  <c r="H124" i="1"/>
  <c r="J124" i="1" s="1"/>
  <c r="J119" i="1" s="1"/>
  <c r="J60" i="1" s="1"/>
  <c r="I124" i="1"/>
  <c r="I119" i="1" s="1"/>
  <c r="I60" i="1" s="1"/>
  <c r="C42" i="2"/>
  <c r="D22" i="6"/>
  <c r="C24" i="2"/>
  <c r="J62" i="2"/>
  <c r="F62" i="2"/>
  <c r="H62" i="2"/>
  <c r="G62" i="2"/>
  <c r="H53" i="2"/>
  <c r="G15" i="1" l="1"/>
  <c r="D19" i="6"/>
  <c r="C45" i="2"/>
  <c r="I47" i="2" s="1"/>
  <c r="I44" i="2"/>
  <c r="H44" i="2"/>
  <c r="G44" i="2"/>
  <c r="J44" i="2"/>
  <c r="F44" i="2"/>
  <c r="J26" i="2"/>
  <c r="F26" i="2"/>
  <c r="G26" i="2"/>
  <c r="H26" i="2"/>
  <c r="I26" i="2"/>
  <c r="J86" i="2"/>
  <c r="F86" i="2"/>
  <c r="G86" i="2"/>
  <c r="H86" i="2"/>
  <c r="J77" i="2"/>
  <c r="F77" i="2"/>
  <c r="H77" i="2"/>
  <c r="G77" i="2"/>
  <c r="G83" i="2"/>
  <c r="H83" i="2"/>
  <c r="J83" i="2"/>
  <c r="F83" i="2"/>
  <c r="J59" i="2"/>
  <c r="F59" i="2"/>
  <c r="H59" i="2"/>
  <c r="G59" i="2"/>
  <c r="J53" i="2"/>
  <c r="G53" i="2"/>
  <c r="F53" i="2"/>
  <c r="H15" i="1" l="1"/>
  <c r="J15" i="1" s="1"/>
  <c r="I15" i="1"/>
  <c r="I14" i="1" s="1"/>
  <c r="C21" i="2"/>
  <c r="J23" i="2" s="1"/>
  <c r="G47" i="2"/>
  <c r="H47" i="2"/>
  <c r="J47" i="2"/>
  <c r="F47" i="2"/>
  <c r="D25" i="6"/>
  <c r="J14" i="1" l="1"/>
  <c r="J323" i="1" s="1"/>
  <c r="G23" i="2"/>
  <c r="I23" i="2"/>
  <c r="H23" i="2"/>
  <c r="F23" i="2"/>
  <c r="H270" i="17" l="1"/>
  <c r="H274" i="17" s="1"/>
  <c r="M116" i="2"/>
  <c r="J115" i="2"/>
  <c r="D67" i="6"/>
  <c r="I322" i="1"/>
  <c r="C12" i="2"/>
  <c r="I14" i="2" s="1"/>
  <c r="I111" i="2" s="1"/>
  <c r="D10" i="6"/>
  <c r="D64" i="6" l="1"/>
  <c r="G14" i="2"/>
  <c r="G111" i="2" s="1"/>
  <c r="H14" i="2"/>
  <c r="H111" i="2" s="1"/>
  <c r="C111" i="2"/>
  <c r="C114" i="2" s="1"/>
  <c r="J14" i="2"/>
  <c r="J111" i="2" s="1"/>
  <c r="F14" i="2"/>
  <c r="E55" i="6" l="1"/>
  <c r="E19" i="6"/>
  <c r="E16" i="6"/>
  <c r="E37" i="6"/>
  <c r="E22" i="6"/>
  <c r="E7" i="6"/>
  <c r="E31" i="6"/>
  <c r="E13" i="6"/>
  <c r="E25" i="6"/>
  <c r="E28" i="6"/>
  <c r="E49" i="6"/>
  <c r="E43" i="6"/>
  <c r="E34" i="6"/>
  <c r="E46" i="6"/>
  <c r="E40" i="6"/>
  <c r="E52" i="6"/>
  <c r="E10" i="6"/>
  <c r="D69" i="6"/>
  <c r="I118" i="2"/>
  <c r="D63" i="2"/>
  <c r="D66" i="2"/>
  <c r="J123" i="2"/>
  <c r="D69" i="2"/>
  <c r="D105" i="2"/>
  <c r="D90" i="2"/>
  <c r="D9" i="2"/>
  <c r="D51" i="2"/>
  <c r="D54" i="2"/>
  <c r="D15" i="2"/>
  <c r="D87" i="2"/>
  <c r="D75" i="2"/>
  <c r="D24" i="2"/>
  <c r="D99" i="2"/>
  <c r="D48" i="2"/>
  <c r="D78" i="2"/>
  <c r="D21" i="2"/>
  <c r="D108" i="2"/>
  <c r="D18" i="2"/>
  <c r="D93" i="2"/>
  <c r="D102" i="2"/>
  <c r="D42" i="2"/>
  <c r="D39" i="2"/>
  <c r="D12" i="2"/>
  <c r="D60" i="2"/>
  <c r="D81" i="2"/>
  <c r="D72" i="2"/>
  <c r="D30" i="2"/>
  <c r="D36" i="2"/>
  <c r="D27" i="2"/>
  <c r="D33" i="2"/>
  <c r="D96" i="2"/>
  <c r="D45" i="2"/>
  <c r="D57" i="2"/>
  <c r="D84" i="2"/>
  <c r="F111" i="2"/>
  <c r="F112" i="2" s="1"/>
  <c r="G112" i="2" s="1"/>
  <c r="H112" i="2" s="1"/>
  <c r="E64" i="6" l="1"/>
  <c r="D111" i="2"/>
  <c r="I112" i="2"/>
</calcChain>
</file>

<file path=xl/sharedStrings.xml><?xml version="1.0" encoding="utf-8"?>
<sst xmlns="http://schemas.openxmlformats.org/spreadsheetml/2006/main" count="5268" uniqueCount="1088">
  <si>
    <t>TOTAL</t>
  </si>
  <si>
    <t>PLANILHA ORÇAMENTÁRIA</t>
  </si>
  <si>
    <t>BDI</t>
  </si>
  <si>
    <t>mês</t>
  </si>
  <si>
    <t xml:space="preserve">unid. </t>
  </si>
  <si>
    <t>m²</t>
  </si>
  <si>
    <t>SETOP</t>
  </si>
  <si>
    <t>-</t>
  </si>
  <si>
    <t>DEMOLIÇÕES E REMOÇÕES</t>
  </si>
  <si>
    <t>ED-48468</t>
  </si>
  <si>
    <t>ED-48505</t>
  </si>
  <si>
    <t>m</t>
  </si>
  <si>
    <t>SERVIÇOS CIVIS</t>
  </si>
  <si>
    <t>ED-13286</t>
  </si>
  <si>
    <t>FORROS E FECHAMENTOS EM DRY-WALL</t>
  </si>
  <si>
    <t>FORRO DE GESSO EM PLACAS ACARTONADAS - FGA</t>
  </si>
  <si>
    <t>ED-49687</t>
  </si>
  <si>
    <t>SINAPI</t>
  </si>
  <si>
    <t>SERVENTE COM ENCARGOS COMPLEMENTARES</t>
  </si>
  <si>
    <t>COTAÇÃO</t>
  </si>
  <si>
    <t>ESQUADRIAS</t>
  </si>
  <si>
    <t>PINTURA</t>
  </si>
  <si>
    <t>ED-50480</t>
  </si>
  <si>
    <t>ED-50478</t>
  </si>
  <si>
    <t>EMASSAMENTO EM PAREDE COM MASSA CORRIDA (PVA), DUAS (2) DEMÃOS, INCLUSIVE LIXAMENTO PARA PINTURA</t>
  </si>
  <si>
    <t>EMASSAMENTO EM TETO COM MASSA CORRIDA (PVA), DUAS (2) DEMÃOS, INCLUSIVE LIXAMENTO PARA PINTURA</t>
  </si>
  <si>
    <t>ED-50452</t>
  </si>
  <si>
    <t>PINTURA ACRÍLICA EM TETO, DUAS (2) DEMÃOS, EXCLUSIVE SELADOR ACRÍLICO E MASSA ACRÍLICA/CORRIDA (PVA)</t>
  </si>
  <si>
    <t>PINTURA ACRÍLICA EM PAREDE, DUAS (2) DEMÃOS, EXCLUSIVE SELADOR ACRÍLICO E MASSA ACRÍLICA/CORRIDA (PVA)</t>
  </si>
  <si>
    <t>ADMINISTRAÇÃO LOCAL DA OBRA</t>
  </si>
  <si>
    <t>REGULARIZAÇÃO E MOBILIZAÇÃO</t>
  </si>
  <si>
    <t>m³</t>
  </si>
  <si>
    <t>ED-51134</t>
  </si>
  <si>
    <t>TRANSPORTE DE MATERIAL DE QUALQUER NATUREZA COM CARRINHO DE MÃO, COM DISTÂNCIAS MAIORES QUE 50M E MENORES OU IGUAIS A 100M, INCLUSIVE CARGA/DESGARGA</t>
  </si>
  <si>
    <t>ED-51126</t>
  </si>
  <si>
    <t xml:space="preserve"> LIMPEZA FINAL PARA ENTREGA DA OBRA</t>
  </si>
  <si>
    <t>ED-50266</t>
  </si>
  <si>
    <t>DEMOLIÇÃO DE RODAPÉ EM GERAL, INCLUSIVE ARGAMASSA DE
ASSENTAMENTO</t>
  </si>
  <si>
    <t xml:space="preserve">PROTEÇÃO DE PISO COM LONA E PLÁSTICO BOLHA </t>
  </si>
  <si>
    <t>CARPINTEIRO DE ESQUADRIA COM ENCARGOS COMPLEMENTARES</t>
  </si>
  <si>
    <t xml:space="preserve">AUXILIAR DE ELETRICISTA COM ENCARGOS COMPLEMENTARES </t>
  </si>
  <si>
    <t>ELETRICISTA COM ENCARGOS COMPLEMENTARES</t>
  </si>
  <si>
    <t>ARGAMASSA COLANTE TIPO AC III</t>
  </si>
  <si>
    <t>1.1</t>
  </si>
  <si>
    <t>1.2</t>
  </si>
  <si>
    <t>2.1</t>
  </si>
  <si>
    <t>2.2</t>
  </si>
  <si>
    <t>2.3</t>
  </si>
  <si>
    <t>3.1</t>
  </si>
  <si>
    <t>3.2</t>
  </si>
  <si>
    <t>3.4</t>
  </si>
  <si>
    <t>3.5</t>
  </si>
  <si>
    <t>4.1</t>
  </si>
  <si>
    <t>5.1</t>
  </si>
  <si>
    <t>5.3</t>
  </si>
  <si>
    <t>5.4</t>
  </si>
  <si>
    <t>5.5</t>
  </si>
  <si>
    <t>6.1</t>
  </si>
  <si>
    <t>6.4</t>
  </si>
  <si>
    <t>8.1</t>
  </si>
  <si>
    <t>9.1</t>
  </si>
  <si>
    <t>9.2</t>
  </si>
  <si>
    <t>9.3</t>
  </si>
  <si>
    <t>9.4</t>
  </si>
  <si>
    <t>9.5</t>
  </si>
  <si>
    <t>10.2</t>
  </si>
  <si>
    <t>11.1</t>
  </si>
  <si>
    <t>11.2</t>
  </si>
  <si>
    <t>11.3</t>
  </si>
  <si>
    <t>11.4</t>
  </si>
  <si>
    <t>11.5</t>
  </si>
  <si>
    <t>12.1</t>
  </si>
  <si>
    <t>12.2</t>
  </si>
  <si>
    <t>12.3</t>
  </si>
  <si>
    <t>12.4</t>
  </si>
  <si>
    <t>%</t>
  </si>
  <si>
    <t>TOTAL GERAL COM BDI</t>
  </si>
  <si>
    <t xml:space="preserve">SERVENTE COM ENCARGOS COMPLEMENTARES </t>
  </si>
  <si>
    <t>PEDREIRO COM ENCARGOS COMPLEMENTARES</t>
  </si>
  <si>
    <t xml:space="preserve">LIMPEZA GERAL </t>
  </si>
  <si>
    <t>PROJETO</t>
  </si>
  <si>
    <t xml:space="preserve">CRONOGRAMA FÍSICO FINANCEIRO </t>
  </si>
  <si>
    <t>ITEM</t>
  </si>
  <si>
    <t>DESCRIÇÃO</t>
  </si>
  <si>
    <t>MÊS</t>
  </si>
  <si>
    <t>R$</t>
  </si>
  <si>
    <t>TOTAL ACUMULADO</t>
  </si>
  <si>
    <t>6</t>
  </si>
  <si>
    <t>10</t>
  </si>
  <si>
    <t>11</t>
  </si>
  <si>
    <t xml:space="preserve">VALOR COM BDI </t>
  </si>
  <si>
    <t>10.1</t>
  </si>
  <si>
    <t>12.5</t>
  </si>
  <si>
    <t>12.6</t>
  </si>
  <si>
    <t>13.1</t>
  </si>
  <si>
    <t>13.2</t>
  </si>
  <si>
    <t>13.3</t>
  </si>
  <si>
    <t>13.4</t>
  </si>
  <si>
    <t>KG</t>
  </si>
  <si>
    <t>TRANSPORTE DE MATERIAL DEMOLIDO EM CAÇAMBA (Município: Belo Horizonte)</t>
  </si>
  <si>
    <t>ED-48436</t>
  </si>
  <si>
    <t>CAMADA DE REGULARIZAÇÃO COM ARGAMASSA, TRAÇO 1:3 (CIMENTO E AREIA), ESP. 15MM, APLICAÇÃO MANUAL, PREPARO MECÂNICO</t>
  </si>
  <si>
    <t>PAREDE COM PLACAS DE GESSO ACARTONADO (DRYWALL), PARA USO INTERNO, COM DUAS FACES DUPLAS E ESTRUTURA METÁLICA COM GUIAS SIMPLES, SEM VÃOS. AF_06/2017_P</t>
  </si>
  <si>
    <t>PAREDE COM PLACAS DE GESSO ACARTONADO (DRYWALL), PARA USO INTERNO, COM DUAS FACES SIMPLES E ESTRUTURA METÁLICA COM GUIAS SIMPLES, SEM VÃOS. AF_06/2017_P</t>
  </si>
  <si>
    <t>LÃ DE ROCHA 32KG/M³ - FORNECIMENTO E INSTALAÇÃO</t>
  </si>
  <si>
    <t>H</t>
  </si>
  <si>
    <t xml:space="preserve">PRÓPRIO </t>
  </si>
  <si>
    <t>M²</t>
  </si>
  <si>
    <t>LÃ DE  ROCHA 32 KG/M³</t>
  </si>
  <si>
    <t>COTAÇÃO DE PREÇOS</t>
  </si>
  <si>
    <t>CONTRATANTE:</t>
  </si>
  <si>
    <t>TRIBUNAL DE JUSTIÇA MILITAR DO ESTADO DE MINAS GERAIS</t>
  </si>
  <si>
    <t>MEDIANA</t>
  </si>
  <si>
    <t>CONTRATADA:</t>
  </si>
  <si>
    <t>QUADOO ARQUITETURA CORPORATIVA</t>
  </si>
  <si>
    <t>PROJETO:</t>
  </si>
  <si>
    <t>MÉDIA OU MEDIANA:</t>
  </si>
  <si>
    <t>DESCRIÇÃO / FORNECEDOR</t>
  </si>
  <si>
    <t>UNIDADE</t>
  </si>
  <si>
    <t>PREÇO</t>
  </si>
  <si>
    <t>COT-01</t>
  </si>
  <si>
    <t>UND</t>
  </si>
  <si>
    <t>VALOR:</t>
  </si>
  <si>
    <t>FIM</t>
  </si>
  <si>
    <t>COT-03</t>
  </si>
  <si>
    <t>COT-04</t>
  </si>
  <si>
    <t>MAGAZINE LUIZA</t>
  </si>
  <si>
    <t>COT-06</t>
  </si>
  <si>
    <t>COT-07</t>
  </si>
  <si>
    <t>COT-10</t>
  </si>
  <si>
    <t>COT-11</t>
  </si>
  <si>
    <t>COT-14</t>
  </si>
  <si>
    <t>COT-15</t>
  </si>
  <si>
    <t>LÃ DE ROCHA 32KG/M³</t>
  </si>
  <si>
    <t>PORTAL DA ACÚSTICA</t>
  </si>
  <si>
    <t>MADEIRA MADEIRA</t>
  </si>
  <si>
    <t>MONTADOR DE ESTRUTURA METÁLICA COM ENCARGOS COMPLEMENTARES</t>
  </si>
  <si>
    <t xml:space="preserve"> </t>
  </si>
  <si>
    <t>REVESTIMENTOS E ROCHAS ORNAMENTAIS</t>
  </si>
  <si>
    <t>COT-02</t>
  </si>
  <si>
    <t>ORSE</t>
  </si>
  <si>
    <t>COT-08</t>
  </si>
  <si>
    <t>COT-09</t>
  </si>
  <si>
    <t>M</t>
  </si>
  <si>
    <t>UN</t>
  </si>
  <si>
    <t>8.1.1</t>
  </si>
  <si>
    <t>7.1</t>
  </si>
  <si>
    <t>7.2</t>
  </si>
  <si>
    <t>7.3</t>
  </si>
  <si>
    <t>7.4</t>
  </si>
  <si>
    <t>INSTALAÇÕES ELÉTRICAS</t>
  </si>
  <si>
    <t>INFRAESTRUTURA ELÉTRICA</t>
  </si>
  <si>
    <t>CAIXA RETANGULAR 4" X 2" MÉDIA (1,30 M DO PISO), PVC, INSTALADA EM PAREDE - FORNECIMENTO E INSTALAÇÃO. AF_12/2015</t>
  </si>
  <si>
    <t>ACABAMENTOS ELÉTRICOS E LUMINÁRIAS</t>
  </si>
  <si>
    <t>8.2</t>
  </si>
  <si>
    <t>8.2.1</t>
  </si>
  <si>
    <t>PRÓPRIO</t>
  </si>
  <si>
    <t>UNID.</t>
  </si>
  <si>
    <t xml:space="preserve"> TJMMG-CP-19</t>
  </si>
  <si>
    <t xml:space="preserve"> TJMMG-CP-20</t>
  </si>
  <si>
    <t xml:space="preserve"> TJMMG-CP-21</t>
  </si>
  <si>
    <t>CABEAMENTO ESTRUTURADO</t>
  </si>
  <si>
    <t>SISTEMA PCI</t>
  </si>
  <si>
    <t>AR CONDICIONADO</t>
  </si>
  <si>
    <t>11.6</t>
  </si>
  <si>
    <t>11.7</t>
  </si>
  <si>
    <t>11.8</t>
  </si>
  <si>
    <t>11.9</t>
  </si>
  <si>
    <t>11.10</t>
  </si>
  <si>
    <t>11.11</t>
  </si>
  <si>
    <t>11.12</t>
  </si>
  <si>
    <t>38124</t>
  </si>
  <si>
    <t xml:space="preserve">ESPUMA EXPANSIVA DE POLIURETANO, APLICACAO MANUAL - 500 ML </t>
  </si>
  <si>
    <t>COT-18</t>
  </si>
  <si>
    <t xml:space="preserve">PAISAGISMO </t>
  </si>
  <si>
    <t>M³</t>
  </si>
  <si>
    <t>COT-21</t>
  </si>
  <si>
    <t>COT-22</t>
  </si>
  <si>
    <t>CONSTRUÇÃO DE EDIFÍCIOS</t>
  </si>
  <si>
    <t>CONSTRUÇÃO DE RODOVIAS E FERROVIAS</t>
  </si>
  <si>
    <t>CONSTRUÇÃO DE REDES DE ABASTECIMENTO DE ÁGUA, COLETA DE ESGOTO E CONSTRUÇÕES CORRELATAS</t>
  </si>
  <si>
    <t>PRIMEIRO QUARTIL</t>
  </si>
  <si>
    <t>CONSTRUÇÃO DE MANUNTEÇÃO DE ESTAÇÕES E REDES DE DISTRIBUIÇÃO DE ENERGIA ELÉTRICA</t>
  </si>
  <si>
    <t>OBRAS PORTUÁRIAS, MARÍTIMAS E FLUVIAIS</t>
  </si>
  <si>
    <t>CAEMA</t>
  </si>
  <si>
    <t>AC =</t>
  </si>
  <si>
    <t>ADMINISTRAÇÃO CENTRAL =</t>
  </si>
  <si>
    <t>S + G =</t>
  </si>
  <si>
    <t>SEGURO + GARANTIAS =</t>
  </si>
  <si>
    <t>QUARTIL MÉDIO</t>
  </si>
  <si>
    <t>1 QUARTIL</t>
  </si>
  <si>
    <t>3 QUARTIL</t>
  </si>
  <si>
    <t>R =</t>
  </si>
  <si>
    <t>RISCO =</t>
  </si>
  <si>
    <t>ADM</t>
  </si>
  <si>
    <t>SG</t>
  </si>
  <si>
    <t>RI</t>
  </si>
  <si>
    <t>DF</t>
  </si>
  <si>
    <t>LU</t>
  </si>
  <si>
    <t>DF =</t>
  </si>
  <si>
    <t>DESPESAS FINANCEIRAS =</t>
  </si>
  <si>
    <t>L =</t>
  </si>
  <si>
    <t>LUCRO =</t>
  </si>
  <si>
    <t>I =</t>
  </si>
  <si>
    <t>IMPOSTOS =</t>
  </si>
  <si>
    <t>COFINS</t>
  </si>
  <si>
    <t>PIS</t>
  </si>
  <si>
    <t>ISS</t>
  </si>
  <si>
    <t>CPRB</t>
  </si>
  <si>
    <t>BDI =</t>
  </si>
  <si>
    <t>[</t>
  </si>
  <si>
    <t>[(</t>
  </si>
  <si>
    <t>+</t>
  </si>
  <si>
    <t>)x</t>
  </si>
  <si>
    <t>(</t>
  </si>
  <si>
    <t>)]</t>
  </si>
  <si>
    <t>]</t>
  </si>
  <si>
    <t>=</t>
  </si>
  <si>
    <t>)</t>
  </si>
  <si>
    <t>1 - FORMULA CONFORME ACORDAO nº 2622/2013 TCU - PLENÁRIO</t>
  </si>
  <si>
    <t>CONTRTANTE</t>
  </si>
  <si>
    <t>CONTRATADA</t>
  </si>
  <si>
    <t>PROJETO ELÉTRICO: COMO CONSTRUÍDO ("AS BUILT") DE PROJETOS COM ÁREA ATÉ 10.000 M2</t>
  </si>
  <si>
    <t>PROJETO CABEAMENTO ESTRUTURADO: COMO CONSTRUÍDO ("AS BUILT") DE PROJETOS COM ÁREA ATÉ 10.000 M2</t>
  </si>
  <si>
    <t>2.4</t>
  </si>
  <si>
    <t>2.5</t>
  </si>
  <si>
    <t>12.7</t>
  </si>
  <si>
    <t>15.1</t>
  </si>
  <si>
    <t>15.2</t>
  </si>
  <si>
    <t>15.3</t>
  </si>
  <si>
    <t>15.4</t>
  </si>
  <si>
    <t>15.5</t>
  </si>
  <si>
    <t>15.6</t>
  </si>
  <si>
    <t>15.7</t>
  </si>
  <si>
    <t>15.8</t>
  </si>
  <si>
    <t>15.9</t>
  </si>
  <si>
    <t>15.10</t>
  </si>
  <si>
    <t>15.11</t>
  </si>
  <si>
    <t>15.12</t>
  </si>
  <si>
    <t>15.13</t>
  </si>
  <si>
    <t>15.14</t>
  </si>
  <si>
    <t>15.15</t>
  </si>
  <si>
    <t>15.16</t>
  </si>
  <si>
    <t>16.1</t>
  </si>
  <si>
    <t>16.2</t>
  </si>
  <si>
    <t>16.3</t>
  </si>
  <si>
    <t>12</t>
  </si>
  <si>
    <t>13</t>
  </si>
  <si>
    <t>14</t>
  </si>
  <si>
    <t>15</t>
  </si>
  <si>
    <t>16</t>
  </si>
  <si>
    <t>NÃO DESONERADA</t>
  </si>
  <si>
    <t>PLANILHA MODELO:</t>
  </si>
  <si>
    <t>DESONERADA</t>
  </si>
  <si>
    <t>PRAZO DA OBRA:</t>
  </si>
  <si>
    <t>BASES:</t>
  </si>
  <si>
    <t>COT-26</t>
  </si>
  <si>
    <t>COT-27</t>
  </si>
  <si>
    <t>COT-28</t>
  </si>
  <si>
    <t>COT-29</t>
  </si>
  <si>
    <t>COT-30</t>
  </si>
  <si>
    <t>TOTAL DO ORÇAMENTO:</t>
  </si>
  <si>
    <t>PLANILHA RESUMO</t>
  </si>
  <si>
    <t>COT-31</t>
  </si>
  <si>
    <t>COT-32</t>
  </si>
  <si>
    <t>COT-33</t>
  </si>
  <si>
    <t>COT-34</t>
  </si>
  <si>
    <t>COT-35</t>
  </si>
  <si>
    <t>COT-36</t>
  </si>
  <si>
    <t>COT-37</t>
  </si>
  <si>
    <t>COT-38</t>
  </si>
  <si>
    <t>COT-39</t>
  </si>
  <si>
    <t>COT-40</t>
  </si>
  <si>
    <t>COT-41</t>
  </si>
  <si>
    <t>COT-42</t>
  </si>
  <si>
    <t>COT-43</t>
  </si>
  <si>
    <t>QUANT.</t>
  </si>
  <si>
    <t>CURVA ABC</t>
  </si>
  <si>
    <t>A</t>
  </si>
  <si>
    <t>B</t>
  </si>
  <si>
    <t xml:space="preserve">TOTAL </t>
  </si>
  <si>
    <t>AMAZON</t>
  </si>
  <si>
    <t>88261</t>
  </si>
  <si>
    <t>12.8</t>
  </si>
  <si>
    <t>12.9</t>
  </si>
  <si>
    <t>12.10</t>
  </si>
  <si>
    <t>5.7</t>
  </si>
  <si>
    <t>UNIFLEX</t>
  </si>
  <si>
    <t>88247</t>
  </si>
  <si>
    <t>5.9</t>
  </si>
  <si>
    <t>DEMOLIÇÃO DE SOLEIRAS, PEITORIS E DEGRAUS</t>
  </si>
  <si>
    <t xml:space="preserve">	INSTALAÇÃO DE REFORÇO DE MADEIRA EM SANCA/CORTINEIRO. AF_06/2017</t>
  </si>
  <si>
    <t>2.8</t>
  </si>
  <si>
    <t>3.3</t>
  </si>
  <si>
    <t>3.8</t>
  </si>
  <si>
    <t>3.11</t>
  </si>
  <si>
    <t>5.10</t>
  </si>
  <si>
    <t>BANDA ACÚSTICA 48MM</t>
  </si>
  <si>
    <t>88278</t>
  </si>
  <si>
    <t>88316</t>
  </si>
  <si>
    <t>ESPAÇO SMART</t>
  </si>
  <si>
    <t>ACRÓPOLUZ</t>
  </si>
  <si>
    <t>DISJUNTOR BIPOLAR TIPO DIN, CORRENTE NOMINAL DE 20A - FORNECIMENTO E INSTALAÇÃO. AF_10/2020</t>
  </si>
  <si>
    <t>INTERRUPTOR SIMPLES (1 MÓDULO), 10A/250V, INCLUINDO SUPORTE E PLACA - FORNECIMENTO E INSTALAÇÃO. AF_12/2015</t>
  </si>
  <si>
    <t>MESES</t>
  </si>
  <si>
    <t>BANDA ACÚSTICA</t>
  </si>
  <si>
    <t>PLANILHA DE MEMÓRIA DE CÁLCULO</t>
  </si>
  <si>
    <t>unid.</t>
  </si>
  <si>
    <t>ml</t>
  </si>
  <si>
    <t>5.11</t>
  </si>
  <si>
    <t xml:space="preserve">CABEAMENTO ESTRUTURADO </t>
  </si>
  <si>
    <t>CONFORME PROJETO</t>
  </si>
  <si>
    <t xml:space="preserve">Volume estimado </t>
  </si>
  <si>
    <t>4º pavimento | Diretoria RH</t>
  </si>
  <si>
    <t>4º pavimento | Diretoria ADM</t>
  </si>
  <si>
    <t>4º pavimento | Sala de reunião ADM</t>
  </si>
  <si>
    <t>4º pavimento |Sala de reunião RH</t>
  </si>
  <si>
    <t>4º pavimento |Assessoria jurídica</t>
  </si>
  <si>
    <t>4º pavimento | Arquivo RH</t>
  </si>
  <si>
    <t>4º pavimento |Telefonista / Xerox</t>
  </si>
  <si>
    <t>4º pavimento | Escritório de Projetos</t>
  </si>
  <si>
    <t>4º pavimento | Chefia</t>
  </si>
  <si>
    <t>4º pavimento | Sala de revisão e jurisprudência</t>
  </si>
  <si>
    <t>4º pavimento |Sala diretora ADM</t>
  </si>
  <si>
    <t>4º pavimento | Sala diretora RH</t>
  </si>
  <si>
    <t>4º pavimento | Sala diretora assessoria jurídica</t>
  </si>
  <si>
    <t>4º pavimento |Sala 413 maior</t>
  </si>
  <si>
    <t>4º pavimento |Sala 413 menor</t>
  </si>
  <si>
    <t xml:space="preserve">REMANEJAMENTO DE MOBILIÁRIOS PARA TROCA DE PISO </t>
  </si>
  <si>
    <t>4º pavimento | Sala 405</t>
  </si>
  <si>
    <t>4º pavimento | Sala 406</t>
  </si>
  <si>
    <t>4º pavimento | Sala 407</t>
  </si>
  <si>
    <t>4º pavimento | Sala 408</t>
  </si>
  <si>
    <t>4º pavimento | Sala 409</t>
  </si>
  <si>
    <t>4º pavimento | Sala 413</t>
  </si>
  <si>
    <t>4º pavimento | Sala 414</t>
  </si>
  <si>
    <t>4º pavimento | Sala 416</t>
  </si>
  <si>
    <t>4º pavimento | Sala 417</t>
  </si>
  <si>
    <t>4º pavimento | Sala 418</t>
  </si>
  <si>
    <t>4º pavimento | Sala 419</t>
  </si>
  <si>
    <t>4º pavimento | Sala xerox / telefonista</t>
  </si>
  <si>
    <t>4º pavimento | Sala 424</t>
  </si>
  <si>
    <t xml:space="preserve">REMOÇÃO DE MOBILIÁRIOS: MESAS, CADEIRAS, SOFÁS, ARMÁRIOS, PRATELEIRAS, PERSIANAS, ETC. </t>
  </si>
  <si>
    <t xml:space="preserve">4º pavimento | Circulação </t>
  </si>
  <si>
    <t>4º pavimento |Circulação</t>
  </si>
  <si>
    <t>4º pavimento | Sala de revisão e jurispudrência</t>
  </si>
  <si>
    <t>4º pavimento |Chefia</t>
  </si>
  <si>
    <t>4º pavimento |Sala de reunião RH (séptos)</t>
  </si>
  <si>
    <t>4º pavimento | Sala diretora RH (séptos)</t>
  </si>
  <si>
    <t>4º pavimento | Sala de reunião ADM (séptos)</t>
  </si>
  <si>
    <t>4º pavimento |Sala diretora ADM (séptos)</t>
  </si>
  <si>
    <t>4º pavimento | Chefia (séptos)</t>
  </si>
  <si>
    <t>PISO VINÍLICO EM PLACA 30x30cm COM ESPESSURA 2mm. PAVIFLEX NATURAL COLEÇÃO THRU. COR 668 ARENITO. REF. TARKETT</t>
  </si>
  <si>
    <t>REVESTIMENTO CERÂMICO ESMALTADO DE BORDA ARREDONDADA NO FORMATO 61X61CM, MODELO ASPEN CINZA DA MARCA ROSAGRÊS</t>
  </si>
  <si>
    <t xml:space="preserve">P08: REINSTALAÇÃO DE PORTA PRONTA 82X210CM EXISTENTE, CONFORME PROJETO ARQUITETÔNICO; </t>
  </si>
  <si>
    <t>4º pavimento | Circulação</t>
  </si>
  <si>
    <t>4º pavimento | Circulação principal</t>
  </si>
  <si>
    <t>M21: CORTINA ROLÔ TELA SOLAR CINZA CLARO. FATOR DE ABERTURA 1%.
COMPOSIÇÃO 25% POLIÉSTER E 75% PVC. ANTICHAMAS.</t>
  </si>
  <si>
    <t>M22: CORTINA ROLÔ TELA SOLAR CINZA CLARO. FATOR DE ABERTURA 1%.
COMPOSIÇÃO 25% POLIÉSTER E 75% PVC. ANTICHAMAS.</t>
  </si>
  <si>
    <t>M23: CORTINA ROLÔ TELA SOLAR CINZA CLARO. FATOR DE ABERTURA 1%.
COMPOSIÇÃO 25% POLIÉSTER E 75% PVC. ANTICHAMAS.</t>
  </si>
  <si>
    <t>PROJETO CLIMATIZAÇÃO: COMO CONSTRUÍDO ("AS BUILT") DE PROJETOS COM ÁREA ATÉ 10.000 M2</t>
  </si>
  <si>
    <t>CO-27389</t>
  </si>
  <si>
    <t>REMOÇÃO MANUAL DE LUMINÁRIA COMERCIAL, EMBUTIDA OU SOBREPOR, COM REAPROVEITAMENTO, INCLUSIVE AFASTAMENTO E EMPILHAMENTO, EXCLUSIVE TRANSPORTE E RETIRADA DO MATERIAL REMOVIDO NÃO REAPROVEITÁVEL</t>
  </si>
  <si>
    <t>ED-48463</t>
  </si>
  <si>
    <t>DEMOLIÇÃO MANUAL DE FORRO DE CHAPA OU PLACA DE GESSO, INCLUSIVE DEMOLIÇÃO DA ESTRUTURA DE SUSTENTAÇÃO, AFASTAMENTO E EMPILHAMENTO, EXCLUSIVE TRANSPORTE E RETIRADA DO MATERIAL DEMOLIDO</t>
  </si>
  <si>
    <t>DEMOLIÇÃO MANUAL DE DIVISÓRIA DE DRYWALL, INCLUSIVE AFASTAMENTO E EMPILHAMENTO, EXCLUSIVE TRANSPORTE E RETIRADA DO MATERIAL DEMOLIDO</t>
  </si>
  <si>
    <t>TJMMG-CP-01</t>
  </si>
  <si>
    <t>DEMOLIÇÃO MANUAL DE ALVENARIA DE TIJOLO CERÂMICO MACIÇO, INCLUSIVE AFASTAMENTO E EMPILHAMENTO, EXCLUSIVE TRANSPORTE E RETIRADA DO MATERIAL DEMOLIDO</t>
  </si>
  <si>
    <t>REMOÇÃO MANUAL DE ESQUADRIA EM MADEIRA, COM REAPROVEITAMENTO, INCLUSIVE REMOÇÃO DE MARCO/ALIZAR/ GUARNIÇÕES, AFASTAMENTO E EMPILHAMENTO, EXCLUSIVE TRANSPORTE E RETIRADA DO MATERIAL REMOVIDO NÃO REAPROVEITÁVEL</t>
  </si>
  <si>
    <t>ED-48493</t>
  </si>
  <si>
    <t>TJMMG-CP-02</t>
  </si>
  <si>
    <t>TJMMG-CP-03</t>
  </si>
  <si>
    <t>DEMOLIÇÃO MANUAL DE PISO VINÍLICO, INCLUSIVE AFASTAMENTO E EMPILHAMENTO, EXCLUSIVE TRANSPORTE E RETIRADA DO MATERIAL DEMOLIDO</t>
  </si>
  <si>
    <t>ED-48482</t>
  </si>
  <si>
    <t>DEMOLIÇÃO MANUAL DE RODAPÉ, INCLUSIVE ARGAMASSA DE ASSENTAMENTO E AFASTAMENTO, EXCLUSIVE TRANSPORTE E RETIRADA DO MATERIAL DEMOLIDO</t>
  </si>
  <si>
    <t>REMOÇÃO MANUAL DE PEITORIL DE MÁRMORE OU GRANITO, COM REAPROVEITAMENTO, INCLUSIVE AFASTAMENTO E EMPILHAMENTO, EXCLUSIVE TRANSPORTE E RETIRADA DO MATERIAL REMOVIDO NÃO REAPROVEITÁVEL</t>
  </si>
  <si>
    <t>ED-48478</t>
  </si>
  <si>
    <t xml:space="preserve"> REBOCO COM ARGAMASSA, TRAÇO 1:2:8 (CIMENTO, CAL E AREIA) , ESP. 20MM, APLICAÇÃO MANUAL, INCLUSIVE ARGAMASSA COM PREPARO MECANIZADO, EXCLUSIVE CHAPISCO</t>
  </si>
  <si>
    <t>ED-50761</t>
  </si>
  <si>
    <t>FORRO EM CHAPA DE GESSO ACARTONADO, ESP. 12,5MM, COM FIXAÇÃO DO TIPO ARAMADO, EXCLUSIVE PERFIL TABICA, SANCA E MOLDURA, INCLUSIVE ACESSÓRIOS E FIXAÇÃO</t>
  </si>
  <si>
    <t>ACABAMENTOS PARA FORRO (MOLDURA EM DRYWALL, COM LARGURA DE 15 CM). AF_ 05/2017_PS</t>
  </si>
  <si>
    <t>TJMMG-CP-04</t>
  </si>
  <si>
    <t>TJMMG-CP-05</t>
  </si>
  <si>
    <t>TJMMG-CP-06</t>
  </si>
  <si>
    <t>PINTURA COM VERNIZ SINTÉTICO MARÍTIMO EM BATE MACA DE MADEIRA SEM CORRIMÃO, COM LARGURA DE 15CM E ESP. 2CM, DUAS (2) DEMÃOS, ACABAMENTO TIPO FOSCO</t>
  </si>
  <si>
    <t>ED-9026</t>
  </si>
  <si>
    <t>FAST DRYWALL</t>
  </si>
  <si>
    <t xml:space="preserve">CENTER PISO </t>
  </si>
  <si>
    <t>SÓ PISO</t>
  </si>
  <si>
    <t>ÁTRIO</t>
  </si>
  <si>
    <t>COT-05</t>
  </si>
  <si>
    <t>ARTESA DRYWALL</t>
  </si>
  <si>
    <t>TOTAL FORROS E ISOLAMENTO</t>
  </si>
  <si>
    <t>PERFIL PARA FORRO MODULAR AÇO T24 CLICADO 24 X 62,5 MM</t>
  </si>
  <si>
    <t>ARTESANA</t>
  </si>
  <si>
    <t>PERFIL CANALETA, FORMATO C, EM ACO ZINCADO, PARA ESTRUTURA FORRO DRYWALL, E = 0,5 MM, *46 X 18* (L X H), COMPRIMENTO 3 M</t>
  </si>
  <si>
    <t>PENDURAL OU PRESILHA REGULADORA, EM ACO GALVANIZADO, COM CORPO, MOLA E REBITE, PARA PERFIL TIPO CANALETA DE ESTRUTURA EM FORROS DRYWALL</t>
  </si>
  <si>
    <t xml:space="preserve">PARAFUSO ZINCADO, AUTOBROCANTE, FLANGEADO, 4,2 MM X 19 MM </t>
  </si>
  <si>
    <t>CENTO</t>
  </si>
  <si>
    <t xml:space="preserve">MONTADOR DE ESTRUTURA METÁLICA COM ENCARGOS COMPLEMENTARES </t>
  </si>
  <si>
    <t>LEROY MERLIN</t>
  </si>
  <si>
    <t>ZZATFULL</t>
  </si>
  <si>
    <t>LUMINÁRIA PARA LÂMPADA LED DE EMBUTIR. COM ALETAS E REFLETORES PARABÓLICOS EM ALUMÍNIO 124X31CM</t>
  </si>
  <si>
    <t>LUMINÁRIA PARA LÂMPADA LED DE EMBUTIR. COM ALETAS E REFLETORES PARABÓLICOS EM ALUMÍNIO 62X62CM</t>
  </si>
  <si>
    <t>PAINEL LED DE EMBUTIR SLIM 62X62CM</t>
  </si>
  <si>
    <t>LUMICENTER</t>
  </si>
  <si>
    <t>TEMPLUZ</t>
  </si>
  <si>
    <t>AMPLA</t>
  </si>
  <si>
    <t>MARELLI</t>
  </si>
  <si>
    <t>PROJETOUM</t>
  </si>
  <si>
    <t>COT-19</t>
  </si>
  <si>
    <t>cj</t>
  </si>
  <si>
    <t>COT-20</t>
  </si>
  <si>
    <t xml:space="preserve">VIDRACEIRO COM ENCARGOS COMPLEMENTARES  </t>
  </si>
  <si>
    <t>88325</t>
  </si>
  <si>
    <t xml:space="preserve">PROTETOR DE PISO </t>
  </si>
  <si>
    <t xml:space="preserve">COLOCAÇÃO DE FITA PROTETORA PARA PINTURA. AF_01/2020 </t>
  </si>
  <si>
    <t>ROLO</t>
  </si>
  <si>
    <t>MERCADO LIVRE</t>
  </si>
  <si>
    <t>REMANEJAMENTO DE CIRCUITOS PARA O QUADRO NOVO INCLUINDO MATERIAL E MÃO DE OBRA</t>
  </si>
  <si>
    <t>QUADRO DE FORÇA QFAC-4º PAVIMENTO</t>
  </si>
  <si>
    <t>ITENS DIVERSOS</t>
  </si>
  <si>
    <t>QUEBRA EM ALVENARIA PARA INSTALAÇÃO DE QUADRO DISTRIBUIÇÃO GRANDE (76X40 CM). AF_05/201</t>
  </si>
  <si>
    <t>QUADRO DE DISTRIBUIÇÃO DE ENERGIA EM CHAPA DE AÇO GALVANIZADO, DE EMBUTIR, COM BARRAMENTO TRIFÁSICO, PARA 24 DISJUNTORES DIN 100A - FORNECIMENTO E INSTALAÇÃO. AF_10/2020</t>
  </si>
  <si>
    <t>VLC SLIM CLASSE 1 275V 12,5/60kA</t>
  </si>
  <si>
    <t>ED-51092</t>
  </si>
  <si>
    <t xml:space="preserve">CABOS, FIAÇÕES E ACESSÓRIOS </t>
  </si>
  <si>
    <t>CABO DE COBRE FLEXÍVEL, CLASSE 5, ISOLAMENTO TIPO EPR/HEPR, NÃO HALOGENADO, ANTICHAMA, TERMOFIXO, UNIPOLAR, SEÇÃO 10 MM2, 90°C, 0,6/1KV</t>
  </si>
  <si>
    <t>ED-48998</t>
  </si>
  <si>
    <t>CABO DE COBRE FLEXÍVEL, CLASSE 5, ISOLAMENTO TIPO EPR/HEPR, NÃO HALOGENADO, ANTICHAMA, TERMOFIXO, UNIPOLAR, SEÇÃO 2,5 MM2, 90°C, 0,6/1KV</t>
  </si>
  <si>
    <t>ED-48989</t>
  </si>
  <si>
    <t>FITA ISOLANTE ALTA FUSÃO 19 MM X 10M - FORNECIMENTO</t>
  </si>
  <si>
    <t>FORNECIMENTO DE TERMINAL PRÉ-ISOLADO TIPO GARFO SÉRIE MÉTRICA PARA CABO 2,5 MM²</t>
  </si>
  <si>
    <t>ANILHA (MARCADOR) PARA IDENTIFICAÇÃO DE CABOS (# 6 MM2) - 500 UN</t>
  </si>
  <si>
    <t>ED-48361</t>
  </si>
  <si>
    <t>FORNECIMENTO DE ABRAÇADEIRA PLÁSTICA SERRILHADA 232 MM</t>
  </si>
  <si>
    <t>ELETRODUTOS, CAIXAS E ACESSÓRIOS</t>
  </si>
  <si>
    <t>ED-49320</t>
  </si>
  <si>
    <t>ELETRODUTO DE AÇO GALVANIZADO LEVE, INCLUSIVE CONEXÕES, SUPORTES E FIXAÇÃO DN 25 (1")</t>
  </si>
  <si>
    <t>ED-49318</t>
  </si>
  <si>
    <t>ED-49317</t>
  </si>
  <si>
    <t>ELETRODUTO DE PVC RÍGIDO ROSCÁVEL, DN 20 MM (3/4"), INCLUSIVE CONEXÕES, SUPORTES E FIXAÇÃO</t>
  </si>
  <si>
    <t>ED-49308</t>
  </si>
  <si>
    <t>CONDULETE DE ALUMÍNIO, TIPO X, PARA ELETRODUTO DE AÇO GALVANIZADO DN 25 MM (1''), APARENTE - FORNECIMENTO E INSTALAÇÃO. AF_10/2022</t>
  </si>
  <si>
    <t>CONDULETE DE ALUMÍNIO, TIPO X, PARA ELETRODUTO DE AÇO GALVANIZADO DN 20 MM (3/4''), APARENTE - FORNECIMENTO E INSTALAÇÃO. AF_10/2022</t>
  </si>
  <si>
    <t>CJ</t>
  </si>
  <si>
    <t>ELETROCALHA E ACESSÓRIOS</t>
  </si>
  <si>
    <t>FORNECIMENTO E INSTALAÇÃO DE SAÍDA HORIZONTAL PARA ELETRODUTO 1" (REF. VL 33 VALEMAM OU SIMILAR)</t>
  </si>
  <si>
    <t>FORNECIMENTO E INSTALAÇÃO DE SAÍDA HORIZONTAL PARA ELETRODUTO 3/4" (REF. VL 33 VALEMAM OU SIMILAR)</t>
  </si>
  <si>
    <t>ARRUELA LISA ZINCADA D=1/4"</t>
  </si>
  <si>
    <t>PARAFUSO CABEÇA LENTILHA AUTO-TRAVANTE 1/4" X 3/4 ", BICROMATIZADA</t>
  </si>
  <si>
    <t>PORCA SEXTAVADA ZINCADA 1/4" (FORNECIMENTO E COLOCAÇÃO)</t>
  </si>
  <si>
    <t>INTERRUPTOR SIMPLES (3 MÓDULOS), 10A/250V, INCLUINDO SUPORTE E PLACA - FORNECIMENTO E INSTALAÇÃO. AF_03/2023</t>
  </si>
  <si>
    <t>TOMADA MÉDIA DE EMBUTIR (1 MÓDULO), 2P+T 10 A, INCLUINDO SUPORTE E PLACA - FORNECIMENTO E INSTALAÇÃO. AF_03/2023</t>
  </si>
  <si>
    <t>TOMADA MÉDIA DE EMBUTIR (2 MÓDULOS), 2P+T 10 A, INCLUINDO SUPORTE E PLACA - FORNECIMENTO E INSTALAÇÃO. AF_03/2023</t>
  </si>
  <si>
    <t>QUEBRA EM ALVENARIA PARA INSTALAÇÃO DE CAIXA DE TOMADA (4X4 OU 4X2). AF_05/2015</t>
  </si>
  <si>
    <t>AUXILIAR DE ELETRICISTA COM ENCARGOS COMPLEMENTARES</t>
  </si>
  <si>
    <t>PLAQUETA ACRÍLICA PANTOGRAFADA</t>
  </si>
  <si>
    <t>PÇ</t>
  </si>
  <si>
    <t>CONJUNTO DE FITA ISOLANTE COLORIDA (AZUL, BRANCO, VERMELHO, AMARELO E VERDE)</t>
  </si>
  <si>
    <t>INSTALAÇÕES ELÉTRICAS ESTABILIZADAS</t>
  </si>
  <si>
    <t>ACABAMENTOS ELÉTRICOS</t>
  </si>
  <si>
    <t>PARAFUSO COM BUCHA S-8</t>
  </si>
  <si>
    <t>CONECTOR RETO DE ALUMÍNIO 1"</t>
  </si>
  <si>
    <t>ABRAÇADEIRA EM AÇO INOX, TIPO "D" 1"</t>
  </si>
  <si>
    <t>CERTIFICAÇÃO E TESTES</t>
  </si>
  <si>
    <t>CERTIFICAÇÃO DE GARANTIA DE TRANSMISSÃO DE CABOS LÓGICOS CAT. 5/6</t>
  </si>
  <si>
    <t>ED-48368</t>
  </si>
  <si>
    <t>CABOS, TOMADAS E ACESSÓRIOS</t>
  </si>
  <si>
    <t>CABO UTP 4 PARES CATEGORIA 6 COM REVESTIMENTO EXTERNO NÃO PROPAGANTE A CHAMA</t>
  </si>
  <si>
    <t>ED-48365</t>
  </si>
  <si>
    <t xml:space="preserve">RACK E COMPONENTES </t>
  </si>
  <si>
    <t>SÉPTOS COM PLACAS DE GESSO ACARTONADO (DRYWALL), PARA USO INTERNO, COM DUAS FACES DUPLAS E ESTRUTURA METÁLICA COM GUIAS SIMPLES.</t>
  </si>
  <si>
    <t>REMOÇÃO DE DETECTOR DE FUMAÇA</t>
  </si>
  <si>
    <t xml:space="preserve">UN </t>
  </si>
  <si>
    <t xml:space="preserve"> FORRO MINERAL REMOVÍVEL MODULAR (1250x625x15MM) THERMATEX ANTARIS.
ESTRUTURA APARENTE SK. COR BRANCO. REF. KANUF</t>
  </si>
  <si>
    <t>FORRO MINERAL REMOVÍVEL MODULAR (625x625x15MM) AMF TOPIQ PRIME.
ESTRUTURA APARENTE SK. COR BRANCO. REF. KNAUF (OU OWA OPÇÃO BRILLIANTO)</t>
  </si>
  <si>
    <t>PISO VINÍLICO EM PLACA 30x30cM COM ESPESSURA 2MM. PAVIFLEX NATURAL COLEÇÃO THRU. COR 668 ARENITO. REF. TARKETT</t>
  </si>
  <si>
    <t>REINSTALAÇÃO DE RODAPÉ EM MADEIRA IPÊ COM VERNIZ MARÍTIMO IPÊ. h=7cM - MATERIAL REAPROVEITADO  (INCLUSO APLICAÇÃO DE VERNIZ)</t>
  </si>
  <si>
    <t>2.6</t>
  </si>
  <si>
    <t>2.7</t>
  </si>
  <si>
    <t>3.7</t>
  </si>
  <si>
    <t>3.10</t>
  </si>
  <si>
    <t>4.2</t>
  </si>
  <si>
    <t>5.2</t>
  </si>
  <si>
    <t>7.1.1</t>
  </si>
  <si>
    <t>7.1.2</t>
  </si>
  <si>
    <t>7.2.1</t>
  </si>
  <si>
    <t>7.2.2</t>
  </si>
  <si>
    <t>7.2.4</t>
  </si>
  <si>
    <t>7.2.5</t>
  </si>
  <si>
    <t>7.3.1</t>
  </si>
  <si>
    <t>7.3.3</t>
  </si>
  <si>
    <t>7.3.4</t>
  </si>
  <si>
    <t>7.3.5</t>
  </si>
  <si>
    <t>7.3.7</t>
  </si>
  <si>
    <t>7.3.8</t>
  </si>
  <si>
    <t>7.3.9</t>
  </si>
  <si>
    <t>7.3.10</t>
  </si>
  <si>
    <t>7.3.11</t>
  </si>
  <si>
    <t>7.4.1</t>
  </si>
  <si>
    <t>7.4.2</t>
  </si>
  <si>
    <t>7.4.3</t>
  </si>
  <si>
    <t>7.4.4</t>
  </si>
  <si>
    <t>7.4.6</t>
  </si>
  <si>
    <t>7.4.7</t>
  </si>
  <si>
    <t>7.5</t>
  </si>
  <si>
    <t>7.5.1</t>
  </si>
  <si>
    <t>7.5.2</t>
  </si>
  <si>
    <t>7.5.3</t>
  </si>
  <si>
    <t>7.5.4</t>
  </si>
  <si>
    <t>7.5.5</t>
  </si>
  <si>
    <t>7.5.6</t>
  </si>
  <si>
    <t>7.5.7</t>
  </si>
  <si>
    <t>7.5.9</t>
  </si>
  <si>
    <t>7.5.10</t>
  </si>
  <si>
    <t>7.6</t>
  </si>
  <si>
    <t>7.6.1</t>
  </si>
  <si>
    <t>7.6.2</t>
  </si>
  <si>
    <t>7.6.3</t>
  </si>
  <si>
    <t>7.6.4</t>
  </si>
  <si>
    <t>7.6.5</t>
  </si>
  <si>
    <t>7.6.6</t>
  </si>
  <si>
    <t>7.7</t>
  </si>
  <si>
    <t>7.7.1</t>
  </si>
  <si>
    <t>7.7.2</t>
  </si>
  <si>
    <t>7.7.3</t>
  </si>
  <si>
    <t>7.7.4</t>
  </si>
  <si>
    <t>7.7.5</t>
  </si>
  <si>
    <t>7.7.6</t>
  </si>
  <si>
    <t>7.7.7</t>
  </si>
  <si>
    <t>8.3</t>
  </si>
  <si>
    <t>8.3.1</t>
  </si>
  <si>
    <t>8.3.2</t>
  </si>
  <si>
    <t>8.4</t>
  </si>
  <si>
    <t>8.4.1</t>
  </si>
  <si>
    <t>8.4.2</t>
  </si>
  <si>
    <t>8.4.3</t>
  </si>
  <si>
    <t>8.4.4</t>
  </si>
  <si>
    <t>8.4.5</t>
  </si>
  <si>
    <t>8.5</t>
  </si>
  <si>
    <t>8.5.1</t>
  </si>
  <si>
    <t>8.5.2</t>
  </si>
  <si>
    <t>8.5.3</t>
  </si>
  <si>
    <t>8.5.4</t>
  </si>
  <si>
    <t>9.1.1</t>
  </si>
  <si>
    <t>9.2.1</t>
  </si>
  <si>
    <t>9.2.2</t>
  </si>
  <si>
    <t>9.2.3</t>
  </si>
  <si>
    <t>9.3.1</t>
  </si>
  <si>
    <t>9.4.1</t>
  </si>
  <si>
    <t>9.5.1</t>
  </si>
  <si>
    <t>9.5.2</t>
  </si>
  <si>
    <t>9.5.3</t>
  </si>
  <si>
    <t>9.5.4</t>
  </si>
  <si>
    <t>11.13</t>
  </si>
  <si>
    <t>11.14</t>
  </si>
  <si>
    <t>14.1</t>
  </si>
  <si>
    <t>15.17</t>
  </si>
  <si>
    <t>M.</t>
  </si>
  <si>
    <t>REINSTALAÇÃO DE DETECTOR DE FUMAÇA</t>
  </si>
  <si>
    <t>COT-23</t>
  </si>
  <si>
    <t>COT-24</t>
  </si>
  <si>
    <t>COT-25</t>
  </si>
  <si>
    <t>15.18</t>
  </si>
  <si>
    <t>15.19</t>
  </si>
  <si>
    <t>REPOSICIONAR MOBILIÁRIO CONFORME NOVO LAYOUT</t>
  </si>
  <si>
    <t>REMANEJAMENTO DE MOBILIÁRIOS PARA TROCA DE PISO (VOLTAR PARA POSIÇÃO INICIAL)</t>
  </si>
  <si>
    <t>CORTINAS E MOBILIÁRIOS</t>
  </si>
  <si>
    <t>REV_00</t>
  </si>
  <si>
    <t>PRINCE</t>
  </si>
  <si>
    <t>FRIO SHOPPING</t>
  </si>
  <si>
    <t>NOVA EXAUSTORES</t>
  </si>
  <si>
    <t xml:space="preserve">DIFUS-AR </t>
  </si>
  <si>
    <t>LG</t>
  </si>
  <si>
    <t>MINI VENTILADOR AXIAL 160/100</t>
  </si>
  <si>
    <t xml:space="preserve">MINI VENTILADOR AXIAL 350/125 </t>
  </si>
  <si>
    <t>CAIXA DE FILTRO MFL-C-100 C/ FILTRO M5</t>
  </si>
  <si>
    <t>GLOW PLANT</t>
  </si>
  <si>
    <t>MEGA GROW</t>
  </si>
  <si>
    <t>CAIXA DE FILTRO MFL-C-125 C/ FILTRO M5</t>
  </si>
  <si>
    <t>COT-44</t>
  </si>
  <si>
    <t>MINI VENTILADOR AXIAL 250/100 MIXVENT</t>
  </si>
  <si>
    <t>DIFUS-AR</t>
  </si>
  <si>
    <t>GRELHAS PARA INSUFLAMENTO, MOD. AT-AG, TAM. 225x125mm</t>
  </si>
  <si>
    <t>GRELHAS PARA CAPTAÇÃO DE AR EXTERIOR, MOD. GRA-100, TAM.  165x165mm</t>
  </si>
  <si>
    <t>GRELHAS PARA CAPTAÇÃO DE AR EXTERIOR, MOD. GRA-150, TAM.  190x190mm</t>
  </si>
  <si>
    <t>COT-45</t>
  </si>
  <si>
    <t>COT-46</t>
  </si>
  <si>
    <t>MULTIVAC</t>
  </si>
  <si>
    <t>COT-48</t>
  </si>
  <si>
    <t>COT-49</t>
  </si>
  <si>
    <t>BOMBA DE DRENO LG</t>
  </si>
  <si>
    <t>COM CLICK</t>
  </si>
  <si>
    <t>LOJA DO TÉCNICO</t>
  </si>
  <si>
    <t>COT-50</t>
  </si>
  <si>
    <t>COT-52</t>
  </si>
  <si>
    <t>1 MULTSPLIT COM CONDENSADORA (50.000 BTU'S) + 5 EVAPORADORAS CASSETE 1 VIA DE 9.000 BTU'S/CADA</t>
  </si>
  <si>
    <t>1 BISPLIT COM CONDENSADORA (27.000 BTU'S) + 1 EVAPORADORA CASSETE 1 VIA DE 9.000 BTU'S + 1 EVAPORADORA CASSETE 1 VIA DE 12.000 BTU'S</t>
  </si>
  <si>
    <t>1 BISPLIT COM CONDENSADORA (18.400 BTU'S) + 2 EVAPORADORAS CASSETE 1 VIA DE 9.000/CADA</t>
  </si>
  <si>
    <t>STR-AR</t>
  </si>
  <si>
    <t>FRIGELAR</t>
  </si>
  <si>
    <t>DUTO EM CHAPA DE AÇO GALVANIZADO Nº. 26, PARA AR CONDICIONADO. FORNECIMENTO, MONTAGEM E INSTALAÇÃO</t>
  </si>
  <si>
    <t>TUBO PVC, SERIE NORMAL, ESGOTO PREDIAL, DN 100 MM, FORNECIDO E INSTALADO EM RAMAL DE DESCARGA OU RAMAL DE ESGOTO SANITÁRIO. AF_08/2022</t>
  </si>
  <si>
    <t>TUBO PVC, SERIE NORMAL, ESGOTO PREDIAL, DN 125 MM, FORNECIDO E INSTALADO EM RAMAL DE DESCARGA OU RAMAL DE ESGOTO SANITÁRIO.</t>
  </si>
  <si>
    <t>LIXA D'AGUA EM FOLHA, GRAO 100</t>
  </si>
  <si>
    <t>UN.</t>
  </si>
  <si>
    <t xml:space="preserve">AUXILIAR DE ENCANADOR OU BOMBEIRO HIDRÁULICO COM ENCARGOS COMPLEMENTARES </t>
  </si>
  <si>
    <t>ENCANADOR OU BOMBEIRO HIDRÁULICO COM ENCARGOS COMPLEMENTARES</t>
  </si>
  <si>
    <t>TUBO PVC SERIE P/ REDE COLET. ESGOTO, JEI, D= 125MM (VINILFORT - TIGRE OU SIMILAR)</t>
  </si>
  <si>
    <t>TUBO EM COBRE FLEXÍVEL, DN 1/4", COM ISOLAMENTO, INSTALADO EM RAMAL DE ALIMENTAÇÃO DE AR CONDICIONADO COM CONDENSADORA CENTRAL FORNECIMENTO E INSTALAÇÃO. AF_12/2015</t>
  </si>
  <si>
    <t>TUBO EM COBRE FLEXÍVEL, DN 3/8", COM ISOLAMENTO, INSTALADO EM RAMAL DE ALIMENTAÇÃO DE AR CONDICIONADO COM CONDENSADORA CENTRAL FORNECIMENTO E INSTALAÇÃO. AF_12/2015</t>
  </si>
  <si>
    <t>MINI VENTILADOR AXIAL 350/125  E CAIXA DE FILTRO MFL-C-125 C/ FILTRO M5</t>
  </si>
  <si>
    <t>MINI VENTILADOR AXIAL 250/100 MIXVENT E CAIXA DE FILTRO MFL-C-100 C/ FILTRO M5</t>
  </si>
  <si>
    <t>MINI VENTILADOR AXIAL 160/100 E CAIXA DE FILTRO MFL-C-100 C/ FILTRO M5</t>
  </si>
  <si>
    <t>11976</t>
  </si>
  <si>
    <t xml:space="preserve">CHUMBADOR, DIAMETRO 1/4" COM PARAFUSO 1/4" X 40 MM </t>
  </si>
  <si>
    <t>SUPORTE MAO-FRANCESA EM ACO, ABAS IGUAIS 40 CM, CAPACIDADE MINIMA 70 KG, BRANCO</t>
  </si>
  <si>
    <t xml:space="preserve">AJUDANTE ESPECIALIZADO COM ENCARGOS COMPLEMENTARES </t>
  </si>
  <si>
    <t>TERMINAL A COMPRESSAO EM COBRE ESTANHADO PARA CABO 2,5 MM2, 1 FURO E 1 COMPRESSAO, PARA PARAFUSO DE FIXACAO</t>
  </si>
  <si>
    <t>ARRUELA EM ACO GALVANIZADO, DIAMETRO EXTERNO = 35MM, ESPESSURA = 3MM, DIAMETRO DO FURO= 18MM</t>
  </si>
  <si>
    <t xml:space="preserve">VERGALHAO ZINCADO ROSCA TOTAL, 1/4 " (6,3 MM) </t>
  </si>
  <si>
    <t>39996</t>
  </si>
  <si>
    <t>39997</t>
  </si>
  <si>
    <t xml:space="preserve">PORCA ZINCADA, SEXTAVADA, DIAMETRO 1/4" </t>
  </si>
  <si>
    <t>GUINDASTE HIDRÁULICO AUTOPROPELIDO, COM LANÇA TELESCÓPICA 40 M, CAPACIDADE MÁXIMA 60 T, POTÊNCIA 260 KW - CHP DIURNO. AF_03/2016</t>
  </si>
  <si>
    <t>93287</t>
  </si>
  <si>
    <t>93288</t>
  </si>
  <si>
    <t>GUINDASTE HIDRÁULICO AUTOPROPELIDO, COM LANÇA TELESCÓPICA 40 M, CAPACIDADE MÁXIMA 60 T, POTÊNCIA 260 KW - CHI DIURNO. AF_03/2016</t>
  </si>
  <si>
    <t>CHP</t>
  </si>
  <si>
    <t>CHI</t>
  </si>
  <si>
    <t xml:space="preserve">REMOÇÃO DE CONJUNTO DO TIPO SPLIT PISO TETO DE 18.000 Btu/h. </t>
  </si>
  <si>
    <t>REMOÇÃO DE MINI VENTILADORES SICFLUX.</t>
  </si>
  <si>
    <t>GÁS R410 A</t>
  </si>
  <si>
    <t>GÁS R410 A - FORNECIMENTO E INSTALAÇÃO</t>
  </si>
  <si>
    <t>MOBILIZAÇÃO E DESMOBILIZAÇÃO DE OBRA EM CENTRO URBANO OU REGIÃO LIMÍTROFE COM VALOR ENTRE 1.000.000,01 E 3.000.000,00</t>
  </si>
  <si>
    <t>11.15</t>
  </si>
  <si>
    <t>11.16</t>
  </si>
  <si>
    <t>11.17</t>
  </si>
  <si>
    <t>11.18</t>
  </si>
  <si>
    <t>DISJUNTOR BIPOLAR TIPO DIN, CORRENTE NOMINAL DE 10A - FORNECIMENTO E INSTALAÇÃO. AF_10/2020</t>
  </si>
  <si>
    <t>COT-53</t>
  </si>
  <si>
    <t>DIMENSIONAL</t>
  </si>
  <si>
    <t>COT-54</t>
  </si>
  <si>
    <t>COT-55</t>
  </si>
  <si>
    <t>SANTIL</t>
  </si>
  <si>
    <t>MULTIPRATI-K</t>
  </si>
  <si>
    <t xml:space="preserve">ADECIL </t>
  </si>
  <si>
    <t>FITA ISOLANTE COLORIDA 20M</t>
  </si>
  <si>
    <t xml:space="preserve">	INSTALAÇÃO DE REFORÇO DE MADEIRA EM PAREDE DRYWALL. AF_06/2017</t>
  </si>
  <si>
    <t>4º pavimento | Escritório de projetos</t>
  </si>
  <si>
    <t>INFRAESTRUTURA ELÉTRICA ESTABILIZADA</t>
  </si>
  <si>
    <t>Caçamba (5m³) x 15 unidades</t>
  </si>
  <si>
    <t xml:space="preserve">COMPOSIÇÃO DE PREÇO UNITÁRIOS - PRÓPRIO </t>
  </si>
  <si>
    <t>CÓDIGO</t>
  </si>
  <si>
    <t>BANCO</t>
  </si>
  <si>
    <t>VALOR UNITÁRIO</t>
  </si>
  <si>
    <t>VALOR UNITÁRIO COM BDI</t>
  </si>
  <si>
    <t>VALOR TOTAL</t>
  </si>
  <si>
    <t>CONTRATANTE</t>
  </si>
  <si>
    <t>P04: PORTA PARA DIVISÓRIA COM VIDRO DUPLO 6MM TEMPERADO, COM PERSIANAS ENTRE VIDROS COR PRETO. ESTRUTURA EM ALUMÍNIO COM ACABAMENTO ANODIZADO NA COR PRETO. FECHADURA PARA PORTA 517 TUBULAR INOX INTERNO ST2 55 ROS 357 INOX PRETO FOSCO. FAB. LA FONTE OU EQUIVALENTE</t>
  </si>
  <si>
    <t xml:space="preserve">ADESIVO ACRILICO DE BASE AQUOSA / COLA DE CONTATO                                                                                                                                                                                                                                                                                                                                                                                                                                            </t>
  </si>
  <si>
    <t>C</t>
  </si>
  <si>
    <t>SALA!CONCEITO</t>
  </si>
  <si>
    <t>GAMA CORTINAS &amp; PERSIANAS</t>
  </si>
  <si>
    <t>ED-50392</t>
  </si>
  <si>
    <t>VALOR TOTAL COM BDI</t>
  </si>
  <si>
    <t>TOTAL GERAL</t>
  </si>
  <si>
    <t>ED-50451</t>
  </si>
  <si>
    <t>ELETRODUTO DE AÇO GALVANIZADO MÉDIO, INCLUSIVE CONEXÕES, SUPORTES E FIXAÇÃO DN 40 (1.1/2")</t>
  </si>
  <si>
    <t>ABRAÇADEIRA EM AÇO INOX, TIPO "D" 3/4"</t>
  </si>
  <si>
    <t>ELETRODUTO DE PVC RÍGIDO ROSCÁVEL, DN 25 MM (1"), INCLUSIVE CONEXÕES, SUPORTES E FIXAÇÃO</t>
  </si>
  <si>
    <t>ED-49309</t>
  </si>
  <si>
    <t>CONJUNTO DE DUAS (2) TOMADAS DE DADOS (CONECTOR RJ45 CAT.6E), COM PLACA 4"X2" DE DOIS (2) POSTOS, INCLUSIVE FORNECIMENTO, INSTALAÇÃO, SUPORTE, MÓDULO E PLACA</t>
  </si>
  <si>
    <t>ED-15762</t>
  </si>
  <si>
    <t>CONJUNTO DE UMA (1) TOMADA DE DADOS (CONECTOR RJ45 CAT .6E), COM PLACA 4"X2" DE UM (1) POSTO, INCLUSIVE FORNECIMENTO, INSTALAÇÃO, SUPORTE, MÓDULO E PLACA</t>
  </si>
  <si>
    <t>ED-15752</t>
  </si>
  <si>
    <t>10.3</t>
  </si>
  <si>
    <t>ED-26989</t>
  </si>
  <si>
    <t xml:space="preserve"> LUMINÁRIA DE EMERGÊNCIA AUTÔNOMA, TIPO LED POTÊNCIA TOTAL DE 2W, FORNECIMENTO E INSTALAÇÃO</t>
  </si>
  <si>
    <t>REMOÇÃO E REINSTAÇÃO DE EVAPORADORA SPLIT HI-WALL DE 12.000 Btu/h.  (INCLUSO ADEQUAÇÃO DOS DRENOS)</t>
  </si>
  <si>
    <t>OBS: FOI CONSIDERADO APENAS UMA QUANTIDADE, POIS O OUTRO ITEM JÁ ESTA INCLUSO NO ORÇAMENTO DO TÉRREO.</t>
  </si>
  <si>
    <t>CALÇOS DE BORRACHA NEOPRENE</t>
  </si>
  <si>
    <t>4.3</t>
  </si>
  <si>
    <t xml:space="preserve">RECOMPOSIÇÃO DE PAREDE (FURO DE PASSAGEM DO EXAUSTOR) </t>
  </si>
  <si>
    <t>ETIQUETAS DE IDENTIFICAÇÃO AUTO-ADESIVAS (PACOTE COM 280 UN.)</t>
  </si>
  <si>
    <t>KALUNGA</t>
  </si>
  <si>
    <t>FORNECIMENTO E INSTALAÇÃO DE PATCH CORDS CAT.6 C/ 2,50M - REV02</t>
  </si>
  <si>
    <t>4º Pavimento: 4 meses</t>
  </si>
  <si>
    <t>5,5 dias / 22 dias trabalhados = 25% 
25 % x 4 meses = 1,25 meses</t>
  </si>
  <si>
    <t>181</t>
  </si>
  <si>
    <t>ACESSÓRIOS DE MONTAGEM</t>
  </si>
  <si>
    <t>3.6</t>
  </si>
  <si>
    <t>3.9</t>
  </si>
  <si>
    <t>5.6</t>
  </si>
  <si>
    <t>5.8</t>
  </si>
  <si>
    <t>7.4.5</t>
  </si>
  <si>
    <t>7.5.8</t>
  </si>
  <si>
    <t>8.2.2</t>
  </si>
  <si>
    <t>8.3.3</t>
  </si>
  <si>
    <t>8.3.4</t>
  </si>
  <si>
    <t>8.4.6</t>
  </si>
  <si>
    <t>9.3.2</t>
  </si>
  <si>
    <t>9.5.5</t>
  </si>
  <si>
    <t>9.5.6</t>
  </si>
  <si>
    <t>9.5.7</t>
  </si>
  <si>
    <t>9.5.8</t>
  </si>
  <si>
    <t>9.5.9</t>
  </si>
  <si>
    <t>9.6</t>
  </si>
  <si>
    <t>9.6.1</t>
  </si>
  <si>
    <t>9.6.2</t>
  </si>
  <si>
    <t>9.6.3</t>
  </si>
  <si>
    <t>9.6.4</t>
  </si>
  <si>
    <r>
      <rPr>
        <sz val="11"/>
        <rFont val="Calibri"/>
        <family val="2"/>
        <scheme val="minor"/>
      </rPr>
      <t xml:space="preserve">UTILIZADO COMO REFERÊNCIA A COMPOSIÇÃO ED-8024 DA SETOP </t>
    </r>
    <r>
      <rPr>
        <i/>
        <sz val="11"/>
        <rFont val="Calibri"/>
        <family val="2"/>
        <scheme val="minor"/>
      </rPr>
      <t>"DEMOLIÇÃO MANUAL DE DIVISÓRIA DE MADEIRA, INCLUSIVE AFASTAMENTO E EMPILHAMENTO, EXCLUSIVE TRANSPORTE E RETIRADA DO MATERIAL DEMOLIDO"</t>
    </r>
  </si>
  <si>
    <t xml:space="preserve"> TJMMG-CP-18</t>
  </si>
  <si>
    <t>88273</t>
  </si>
  <si>
    <t>15.20</t>
  </si>
  <si>
    <t>% ACUMULADA</t>
  </si>
  <si>
    <t>DISJUNTOR BIPOLAR TIPO DIN, CORRENTE NOMINAL DE 40A - FORNECIMENTO E INSTALAÇÃO. AF_10/2020</t>
  </si>
  <si>
    <t>DISJUNTOR MONOPOLAR TIPO DIN, CORRENTE NOMINAL DE 6A - FORNECIMENTO E INSTALAÇÃO. AF_10/2020</t>
  </si>
  <si>
    <t>CAIXA RETANGULAR 4" X 4" MÉDIA (1,30 M DO PISO), PVC, INSTALADA EM PAREDE - FORNECIMENTO E INSTALAÇÃO. AF_12/2015</t>
  </si>
  <si>
    <t>9.5.10</t>
  </si>
  <si>
    <t>CONJUNTO DE QUATRO (4) TOMADAS DE DADOS (CONECTOR RJ45 CAT .6E), COM PLACA 4"X 4" DE UM (4) POSTOS, INCLUSIVE FORNECIMENTO, INSTALAÇÃO, SUPORTE, MÓDULO E PLACA</t>
  </si>
  <si>
    <t>MÓDULO PARA REDE (CONECTOR RJ45 CAT.6E), INCLUSIVE FORNECIMENTO E INSTALAÇÃO, EXCLUSIVE PLACA E SUPORTE</t>
  </si>
  <si>
    <t>ED-5631</t>
  </si>
  <si>
    <t>ED-5624</t>
  </si>
  <si>
    <t>PLACA  4"X4" PARA QUATRO (4) MÓDULOS,  INCLUSIVE  FORNECIMENTO  E INSTALAÇÃO, EXCLUSIVE SUPORTE E MÓDULO</t>
  </si>
  <si>
    <t>ED-5613</t>
  </si>
  <si>
    <t>FORNECIMENTO E INSTALAÇÃO DE PATCH CORDS CAT.6 C/ 1,50M - REV01</t>
  </si>
  <si>
    <t>ED-48378</t>
  </si>
  <si>
    <t xml:space="preserve">TAMPA CEGA DE 1U PARA RACK 19" </t>
  </si>
  <si>
    <t xml:space="preserve">ORGANIZADOR DE CABOS DE 1U PARA RACK 19" </t>
  </si>
  <si>
    <t>ED-48377</t>
  </si>
  <si>
    <t>RÉGUA COM 8 TOMADAS (2P+T), PARA FIXAÇÃO NO RACK DE 19" (1U)</t>
  </si>
  <si>
    <t>ED-48375</t>
  </si>
  <si>
    <t>RACK FECHADO PARA SERVIDOR - FORNECIMENTO E INSTALAÇÃO. AF_11/2019</t>
  </si>
  <si>
    <t>PATCH PANEL 24 POSIÇÕES, CATEGORIA COM GUIA TRASEIRO</t>
  </si>
  <si>
    <t>ED-48373</t>
  </si>
  <si>
    <t>FORNECIMENTO E INSTALAÇÃO DE VOICE PANEL 24 PORTAS CAT6</t>
  </si>
  <si>
    <t>FORNECIMENTO E INSTALAÇÃO DE SWITCH 24 PORTAS 10/100 MPBS + 2P10-100-1000 BT</t>
  </si>
  <si>
    <t>FORNECIMENTO E INSTALAÇÃO DE PARAFUSO PHILIPS M5X15MM E PORCA GAIOLA M5 PARA RACK</t>
  </si>
  <si>
    <t>9.2.4</t>
  </si>
  <si>
    <t>9.2.5</t>
  </si>
  <si>
    <t>9.2.6</t>
  </si>
  <si>
    <t>9.2.7</t>
  </si>
  <si>
    <t>9.2.8</t>
  </si>
  <si>
    <t>9.2.9</t>
  </si>
  <si>
    <t>9.2.10</t>
  </si>
  <si>
    <t>9.2.11</t>
  </si>
  <si>
    <t>9.2.12</t>
  </si>
  <si>
    <t>9.2.13</t>
  </si>
  <si>
    <t>PARAFUSO PHILIPS M5X15MM E PORCA GAIOLA M5 PARA RACK</t>
  </si>
  <si>
    <t>DISJUNTOR MONOPOLAR TIPO DIN, CORRENTE NOMINAL DE 16A - FORNECIMENTO E INSTALAÇÃO. AF_10/2020</t>
  </si>
  <si>
    <t>und.</t>
  </si>
  <si>
    <t xml:space="preserve">MARCENEIRO COM ENCARGOS COMPLEMENTARES </t>
  </si>
  <si>
    <t>90830</t>
  </si>
  <si>
    <t>FECHADURA DE EMBUTIR COM CILINDRO, EXTERNA, COMPLETA, ACABAMENTO PADRÃO MÉDIO, INCLUSO EXECUÇÃO DE FURO - FORNECIMENTO E INSTALAÇÃO. AF_12/2019</t>
  </si>
  <si>
    <t>CHAPA DE INOX, INSTALADA NA JANELA, PARA PASSAGEM DA TUBULAÇÃO DE AR CONDICIONADO</t>
  </si>
  <si>
    <t>MANUTENÇÕES HIDROSSANITÁRIAS E COBERTURA</t>
  </si>
  <si>
    <t>TAMPONAMENTO E ISOLAMENTO DE TUBULAÇÕES HIDROSSANITÁRIAS INUTILIZADAS</t>
  </si>
  <si>
    <t>17.1</t>
  </si>
  <si>
    <t>17.2</t>
  </si>
  <si>
    <t>17.3</t>
  </si>
  <si>
    <t>17.4</t>
  </si>
  <si>
    <t>DESMONTAGEM, TRANSPORTE NO MESMO PAVIMENTO E MONTAGEM DOS ARQUIVOS DESLIZANTES PARA A SALA DO ARQUIVO RH</t>
  </si>
  <si>
    <t>88267</t>
  </si>
  <si>
    <t>88248</t>
  </si>
  <si>
    <t>AUXILIAR DE ENCANADOR OU BOMBEIRO HIDRÁULICO COM ENCARGOS COMPLEMENTARES</t>
  </si>
  <si>
    <t>92267</t>
  </si>
  <si>
    <t>FABRICAÇÃO DE FÔRMA PARA LAJES, EM CHAPA DE MADEIRA COMPENSADA RESINADA, E = 17 MM. AF_09/2020</t>
  </si>
  <si>
    <t>90284</t>
  </si>
  <si>
    <t>GRAUTE FGK=25 MPA; TRAÇO 1:1,3:1,6:0,4 (EM MASSA SECA DE CIMENTO/ AREIA GROSSA/ BRITA 0/ ADITIVO) - PREPARO MECÂNICO COM BETONEIRA 400 L. AF_09/2021</t>
  </si>
  <si>
    <t>98556</t>
  </si>
  <si>
    <t>IMPERMEABILIZAÇÃO DE SUPERFÍCIE COM ARGAMASSA POLIMÉRICA / MEMBRANA ACRÍLICA, 4 DEMÃOS, REFORÇADA COM VÉU DE POLIÉSTER (MAV). AF_06/2018</t>
  </si>
  <si>
    <t>15.21</t>
  </si>
  <si>
    <t>MANUTENÇÃO DO TELHADO EXISTENTE</t>
  </si>
  <si>
    <t xml:space="preserve">OBS: para fins de orçamento da manutenção do telhado, foi considerado uma taxa de 50% do custo do telhamento para a eventual troca dos componentes existentes. </t>
  </si>
  <si>
    <t>94216</t>
  </si>
  <si>
    <t>TELHAMENTO COM TELHA METÁLICA TERMOACÚSTICA E = 30 MM, COM ATÉ 2 ÁGUAS, INCLUSO IÇAMENTO. AF_07/2019</t>
  </si>
  <si>
    <t>4º pavimento | Sala Arquivo</t>
  </si>
  <si>
    <t>cj.</t>
  </si>
  <si>
    <t>KIT DE PORTA DE MADEIRA PARA PINTURA, SEMI-OCA (PESADA OU SUPERPESADA), PADRÃO MÉDIO, 90X210CM, ESPESSURA DE 3,5CM, ITENS INCLUSOS: DOBRADIÇAS, MONTAGEM E INSTALAÇÃO DO BATENTE, SEM FECHADURA - FORNECIMENTO E INSTALAÇÃO. AF_12/2019</t>
  </si>
  <si>
    <t>PINTURA TINTA DE ACABAMENTO (PIGMENTADA) ESMALTE SINTÉTICO FOSCO EM MADEIRA, 2 DEMÃOS. AF_01/2021</t>
  </si>
  <si>
    <t>9.2.14</t>
  </si>
  <si>
    <t>ORGANIZAR RACK EXISTENTE E REALIZAR A IDENTIFICAÇÃO DOS PONTOS</t>
  </si>
  <si>
    <t>11.19</t>
  </si>
  <si>
    <t>EXECUÇÃO DE DRENOS PARA AS EVAPORADORAS</t>
  </si>
  <si>
    <t>FORNECIMENTO E ASSENTAMENTO DE TUBO PVC RÍGIDO SOLDÁVEL, ÁGUA FRIA, DN 25 MM (3/4") , INCLUSIVE CONEXÕES</t>
  </si>
  <si>
    <t>ED-50019</t>
  </si>
  <si>
    <t>12.11</t>
  </si>
  <si>
    <t>SBC</t>
  </si>
  <si>
    <t xml:space="preserve">RETIRADA DE PELICULA INSULFILM  EM JANELAS </t>
  </si>
  <si>
    <t>PROTECOES-APLICACAO DE PELICULA ADESIVA INSULFILM EM VIDROS</t>
  </si>
  <si>
    <t>MINI ÁRVORE COM AVENCA PRESERVADA E VASO EM POLIPROPILENO OVAL BRANCO 30X30CM - INCLUSO SUBSTRATO</t>
  </si>
  <si>
    <t>VASO EM POLIPROPILENO OVAL BRANCO 30X30CM</t>
  </si>
  <si>
    <t>AVENCA PRESERVADA</t>
  </si>
  <si>
    <t>BIOFIL BRASIL</t>
  </si>
  <si>
    <t>O JARDIM VERDE</t>
  </si>
  <si>
    <t>JARDINS PRESERVADOS</t>
  </si>
  <si>
    <t>JARDINEIRO COM ENCARGOS COMPLEMENTARES</t>
  </si>
  <si>
    <t>88441</t>
  </si>
  <si>
    <t>un</t>
  </si>
  <si>
    <t>TERRA VEGETAL (GRANEL)</t>
  </si>
  <si>
    <t>Conforme quantidade de remoção de exaustor do projeto de climatização</t>
  </si>
  <si>
    <t>CAIXA RETANGULAR 4X2</t>
  </si>
  <si>
    <t>DEMAIS QUANTITATIVOS DE ACORDO COM A LISTA DE MATERIAIS ELÉTRICO</t>
  </si>
  <si>
    <t>DEMAIS QUANTITATIVOS DE ACORDO COM A LISTA DE MATERIAIS ELÉTRICO ESTABILIZADO</t>
  </si>
  <si>
    <t>CAIXA RETANGULAR 4X4</t>
  </si>
  <si>
    <t>DEMAIS QUANTITATIVOS DE ACORDO COM A LISTA DE MATERIAIS DE CABEAMENTO ESTRUTURADO</t>
  </si>
  <si>
    <t>Conforme lista do projeto elétrico</t>
  </si>
  <si>
    <t>QUANTITATIVOS DE ACORDO COM A LISTA DO PROJETO DE CLIMATIZAÇÃO</t>
  </si>
  <si>
    <t>4º PAVIMENTO</t>
  </si>
  <si>
    <t>PORTA BANHEIRO PNE</t>
  </si>
  <si>
    <t>4º pavimento</t>
  </si>
  <si>
    <t>4º pavimento | Sala 405 para a Sala do Arquivo RH</t>
  </si>
  <si>
    <t>REV_03</t>
  </si>
  <si>
    <t>4º pavimento |Dir. Finanças</t>
  </si>
  <si>
    <t>4º pavimento |Arquivo</t>
  </si>
  <si>
    <t>4º pavimento | Ban. Feminino</t>
  </si>
  <si>
    <t>4º pavimento | Almoxarifado</t>
  </si>
  <si>
    <t>4º pavimento | RH</t>
  </si>
  <si>
    <t>4º pavimento | Compras</t>
  </si>
  <si>
    <t>4º pavimento | Sala do lado direito da sala do compras</t>
  </si>
  <si>
    <t>4º pavimento | Área Judicial</t>
  </si>
  <si>
    <t>4º pavimento | Sec. Esp.</t>
  </si>
  <si>
    <t>4º pavimento | Jud.</t>
  </si>
  <si>
    <t>4º pavimento | 416</t>
  </si>
  <si>
    <t>4º pavimento | Sala de revisão e Jurisprudência</t>
  </si>
  <si>
    <t>4º pavimento | Próximo a sala de revisão e Jurisprudência</t>
  </si>
  <si>
    <t>NOVEMBRO_2024</t>
  </si>
  <si>
    <t>DISJUNTOR MONOPOLAR 6A</t>
  </si>
  <si>
    <t>ELETRO NUNES</t>
  </si>
  <si>
    <t>SMART GIRO</t>
  </si>
  <si>
    <t>TJMMG-CP-07</t>
  </si>
  <si>
    <t>TJMMG-CP-15</t>
  </si>
  <si>
    <t xml:space="preserve"> TJMMG-CP-24</t>
  </si>
  <si>
    <t xml:space="preserve"> TJMMG-CP-25</t>
  </si>
  <si>
    <t xml:space="preserve"> TJMMG-CP-26</t>
  </si>
  <si>
    <t xml:space="preserve"> TJMMG-CP-27</t>
  </si>
  <si>
    <t xml:space="preserve"> TJMMG-CP-28</t>
  </si>
  <si>
    <t xml:space="preserve"> TJMMG-CP-29</t>
  </si>
  <si>
    <t xml:space="preserve"> TJMMG-CP-30</t>
  </si>
  <si>
    <t xml:space="preserve"> TJMMG-CP-31</t>
  </si>
  <si>
    <t>17</t>
  </si>
  <si>
    <t>M24: CORTINA ROLÔ TELA SOLAR CINZA CLARO. FATOR DE ABERTURA 1%.
COMPOSIÇÃO 25% POLIÉSTER E 75% PVC. ANTICHAMAS.</t>
  </si>
  <si>
    <t>M25: CORTINA ROLÔ TELA SOLAR CINZA CLARO. FATOR DE ABERTURA 1%.
COMPOSIÇÃO 25% POLIÉSTER E 75% PVC. ANTICHAMAS.</t>
  </si>
  <si>
    <t>M26: CORTINA ROLÔ TELA SOLAR CINZA CLARO. FATOR DE ABERTURA 1%.
COMPOSIÇÃO 25% POLIÉSTER E 75% PVC. ANTICHAMAS.</t>
  </si>
  <si>
    <t>M27: CORTINA ROLÔ TELA SOLAR CINZA CLARO. FATOR DE ABERTURA 1%.
COMPOSIÇÃO 25% POLIÉSTER E 75% PVC. ANTICHAMAS.</t>
  </si>
  <si>
    <t>M28: CORTINA ROLÔ TELA SOLAR CINZA CLARO. FATOR DE ABERTURA 1%.
COMPOSIÇÃO 25% POLIÉSTER E 75% PVC. ANTICHAMAS.</t>
  </si>
  <si>
    <t>M29: CORTINA ROLÔ TELA SOLAR CINZA CLARO. FATOR DE ABERTURA 1%.
COMPOSIÇÃO 25% POLIÉSTER E 75% PVC. ANTICHAMAS.</t>
  </si>
  <si>
    <t>M30: CORTINA ROLÔ TELA SOLAR CINZA CLARO. FATOR DE ABERTURA 1%.
COMPOSIÇÃO 25% POLIÉSTER E 75% PVC. ANTICHAMAS.</t>
  </si>
  <si>
    <t>M31: CORTINA ROLÔ TELA SOLAR CINZA CLARO. FATOR DE ABERTURA 1%.
COMPOSIÇÃO 25% POLIÉSTER E 75% PVC. ANTICHAMAS.</t>
  </si>
  <si>
    <t>M32: CORTINA ROLÔ TELA SOLAR CINZA CLARO. FATOR DE ABERTURA 1%.
COMPOSIÇÃO 25% POLIÉSTER E 75% PVC. ANTICHAMAS.</t>
  </si>
  <si>
    <t>M33: CORTINA ROLÔ TELA SOLAR CINZA CLARO. FATOR DE ABERTURA 31.
COMPOSIÇÃO 25% POLIÉSTER E 75% PVC. ANTICHAMAS.</t>
  </si>
  <si>
    <t>M34: CORTINA ROLÔ TELA SOLAR CINZA CLARO. FATOR DE ABERTURA 1%.
COMPOSIÇÃO 25% POLIÉSTER E 75% PVC. ANTICHAMAS.</t>
  </si>
  <si>
    <t>M35: CORTINA ROLÔ TELA SOLAR CINZA CLARO. FATOR DE ABERTURA 1%.
COMPOSIÇÃO 25% POLIÉSTER E 75% PVC. ANTICHAMAS.</t>
  </si>
  <si>
    <t>M36: CORTINA ROLÔ TELA SOLAR CINZA CLARO. FATOR DE ABERTURA 1%.
COMPOSIÇÃO 25% POLIÉSTER E 75% PVC. ANTICHAMAS.</t>
  </si>
  <si>
    <t>M37: CORTINA ROLÔ TELA SOLAR CINZA CLARO. FATOR DE ABERTURA 31.
COMPOSIÇÃO 25% POLIÉSTER E 75% PVC. ANTICHAMAS.</t>
  </si>
  <si>
    <t>M33: CORTINA ROLÔ TELA SOLAR CINZA CLARO. FATOR DE ABERTURA 1%.
COMPOSIÇÃO 25% POLIÉSTER E 75% PVC. ANTICHAMAS.</t>
  </si>
  <si>
    <t>M37: CORTINA ROLÔ TELA SOLAR CINZA CLARO. FATOR DE ABERTURA 1%.
COMPOSIÇÃO 25% POLIÉSTER E 75% PVC. ANTICHAMAS.</t>
  </si>
  <si>
    <t>COT-12</t>
  </si>
  <si>
    <t>COT-13</t>
  </si>
  <si>
    <t>COT-16</t>
  </si>
  <si>
    <t>COT-17</t>
  </si>
  <si>
    <t>DV04: DIVISÓRIA PISO TETO COM 90MM DE ESPESSURA, E VIDRO DUPLO 8MM TEMPERADO, COM PERSIANAS ENTRE VIDROS COR PRETO. ESTRUTURA EM QUADROS PARA VIDRO DUPLO EM 100% ALUMÍNIO COM ACABAMENTO ANODIZADO NA COR PRETO.</t>
  </si>
  <si>
    <t>DV03: DIVISÓRIA PISO TETO COM 90MM DE ESPESSURA, E VIDRO DUPLO 8MM TEMPERADO. ESTRUTURA EM QUADROS PARA VIDRO DUPLO EM 100% ALUMÍNIO COM ACABAMENTO ANODIZADO NA COR PRETO.</t>
  </si>
  <si>
    <t>VALOR TOTAL  COM BDI</t>
  </si>
  <si>
    <t>REFORMA DA SEDE: 4º PAVIMENTO</t>
  </si>
  <si>
    <t>REMOÇÃO DE FECHADURA DA PORTA</t>
  </si>
  <si>
    <t>INSPENÇÃO E MANUTENÇÃO DOS SHAFTS PARA DETECÇÃO E REPAROS SIMPLES DE POSSÍVEL VAZAMENTOS</t>
  </si>
  <si>
    <t>MANUTENÇÃO DAS ESQUADRIAS NOS PONTOS DE INFILTRAÇÃO</t>
  </si>
  <si>
    <t>P05: PORTA PARA DIVISÓRIA COM VIDRO DUPLO 6MM TEMPERADO. ESTRUTURA EM ALUMÍNIO COM ACABAMENTO ANODIZADO NA COR PRETO. FECHADURA PARA PORTA 517 TUBULAR INOX INTERNO ST2 55 ROS 357 INOX PRETO FOSCO. FAB. LA FONTE OU EQUIVALENTE.</t>
  </si>
  <si>
    <t xml:space="preserve">ENGENHEIRO CIVIL DE OBRA JUNIOR COM ENCARGOS COMPLEMENTARES </t>
  </si>
  <si>
    <t xml:space="preserve">ENCARREGADO GERAL DE OBRAS COM ENCARGOS COMPLEMENTARES </t>
  </si>
  <si>
    <t>ART - ANOTAÇÃO DE RESPONSABILIDADE TÉCNICA - PROJETO ARQUITETÔNICO - TAXA PELO VALOR DA OBRA</t>
  </si>
  <si>
    <t>CREA-MG (2024)</t>
  </si>
  <si>
    <t>PROJETO CLIMATIZAÇÃO: ART - ANOTAÇÃO DE RESPONSABILIDADE TÉCNICA - EXECUÇÃO DE OBRA - TAXA PELO VALOR DO "AS BUILT"</t>
  </si>
  <si>
    <t>PROJETO ELÉTRICO: ART - ANOTAÇÃO DE RESPONSABILIDADE TÉCNICA - PROJETO  - TAXA PELO VALOR DO "AS BUILT"</t>
  </si>
  <si>
    <t>PROJETO CABEAMENTO ESTRUTURADO: ART - ANOTAÇÃO DE RESPONSABILIDADE TÉCNICA - PROJETO - TAXA PELO VALOR DO "AS BUILT"</t>
  </si>
  <si>
    <t>CONECTOR RETO DE ALUMINIO PARA ELETRODUTO DE 3/4", PARA ADAPTAR ENTRADA DE ELETRODUTO METALICO FLEXIVEL EM QUADROS - FORNECIMENTO E INSTALAÇÃO</t>
  </si>
  <si>
    <t xml:space="preserve">MECÂNICO DE REFRIGERAÇÃO COM ENCARGOS COMPLEMENTARES </t>
  </si>
  <si>
    <t>FORNECIMENTO E ASSENTAMENTO DE TUBO PVC RÍGIDO
SOLDÁVEL, ÁGUA FRIA, DN 20 MM (1/2"), INCLUSIVE CONEXÕES</t>
  </si>
  <si>
    <t>ED-50018</t>
  </si>
  <si>
    <t>ANILHA PARA IDENTIFICAÇÃO - (0 A 9) E (A A C) COM 10 UNIDADES</t>
  </si>
  <si>
    <t>ARAME GALVANIZADO 6 BWG, D = 5,16 MM (0,157 KG/M), OU 8 BWG, D = 4,19 MM ( KG CR 0,0426000 29,50 1,25 0,101 KG/M), OU 10 BWG, D = 3,40 MM (0,0713 KG/M)</t>
  </si>
  <si>
    <t xml:space="preserve">COLA BRANCA BASE PVA </t>
  </si>
  <si>
    <t>TERMINAL TIPO AGULHA PARA CABO 2,5MM2</t>
  </si>
  <si>
    <t>ABRAÇADEIRA PLÁSTICA SERRILHADA 230 MM</t>
  </si>
  <si>
    <t>PARAFUSO DE ACO ZINCADO, SEXTAVADO, COM ROSCA INTEIRA, DIAMETRO 5/16", COMPRIMENTO 3/4", COM PORCA E ARRUELA LISA LEVE</t>
  </si>
  <si>
    <t>CHAPA DE ACO GALVANIZADA BITOLA GSG 18, E = 1,25 MM (10,00 KG/M2)</t>
  </si>
  <si>
    <t>66.05.55</t>
  </si>
  <si>
    <t>SUDECAP</t>
  </si>
  <si>
    <t>9.2.15</t>
  </si>
  <si>
    <t>9.2.16</t>
  </si>
  <si>
    <t>ALIMENTAÇÃO QUADRO ELÉTRICO QDC-04B</t>
  </si>
  <si>
    <t>CABO DE COBRE FLEXÍVEL ISOLADO, 50 MM², ANTI-CHAMA 0,6/1,0 KV, PARA REDE ENTERRADA DE DISTRIBUIÇÃO DE ENERGIA ELÉTRICA - FORNECIMENTO E INSTALAÇÃO. AF_12/2021</t>
  </si>
  <si>
    <t>CABO DE COBRE FLEXÍVEL ISOLADO, 25 MM², ANTI-CHAMA 0,6/1,0 KV, PARA REDE ENTERRADA DE DISTRIBUIÇÃO DE ENERGIA ELÉTRICA - FORNECIMENTO E INSTALAÇÃO. AF_12/2021</t>
  </si>
  <si>
    <t>CONDULETE DE ALUMÍNIO, TIPO "X", DIÂMETRO DE SAÍDA 1.1/2" (
40MM), EXCLUSIVE MÓDULO E PLACA, INCLUSIVE FIXAÇÃO</t>
  </si>
  <si>
    <t>ED-49100</t>
  </si>
  <si>
    <t>DISJUNTOR MONOPOLAR TIPO DIN, CORRENTE NOMINAL DE 20A - FORNECIMENTO E INSTALAÇÃO. AF_10/2020</t>
  </si>
  <si>
    <t>DISJUNTOR TRIPOLAR TIPO CAIXA MOLDADA, CORRENTE NOMINAL DE 100A, FORNECIMENTO E INSTALAÇÃO, INCLUSIVE TERMINAL DE COMPRESSÃO</t>
  </si>
  <si>
    <t>ED-34499</t>
  </si>
  <si>
    <t>ELETRODUTO DE AÇO GALVANIZADO LEVE, INCLUSIVE CONEXÕES, SUPORTES E FIXAÇÃO DN 20 (3/4")</t>
  </si>
  <si>
    <t>ELETROCALHA LISA GALVANIZADA A FOGO, 100 X 50 MM, COM ACESSÓRIOS</t>
  </si>
  <si>
    <t>CPOS</t>
  </si>
  <si>
    <t>38.21.120</t>
  </si>
  <si>
    <t>TE VERTICAL(DESCIDA),PARA ELETROCALHA PERFURADA OU LISA,100X50MM.FORNECIMENTO E COLOCACAO</t>
  </si>
  <si>
    <t>EMOP</t>
  </si>
  <si>
    <t>15.018.0920-0</t>
  </si>
  <si>
    <t>CURVA HORIZONTAL 100 X 50 MM PARA ELETROCALHA METÁLICA, COM ÂNGULO 90° (REF.:MOPA OU SIMILAR)</t>
  </si>
  <si>
    <t>CURVA DE INVERSAO,90º,PARA ELETROCALHA PERFURADA OU LISA,100X50MM.FORNECIMENTO E COLOCACAO</t>
  </si>
  <si>
    <t>15.018.0730-0</t>
  </si>
  <si>
    <t>11.11.80</t>
  </si>
  <si>
    <t>EMENDA PARA ELETROCALHA LISA OU PERFURADA - 100X50MM (LXH) REF 97251</t>
  </si>
  <si>
    <t>ARRUELA DE LISA 3/8"</t>
  </si>
  <si>
    <t>FORNECIMENTO E INSTALAÇÃO DE PARAFUSO CABEÇA LENTILHA 3/8" X 3/4" (REF. VL 1.68 VALEMAM OU SIMILAR)</t>
  </si>
  <si>
    <t>PORCA SEXTAVADA 3/8", BICROMATIZADA</t>
  </si>
  <si>
    <t>GANCHO CURTO PARA PERFILADO, ( REF.: MOPA OU SIMILAR)</t>
  </si>
  <si>
    <t>FIXAÇÃO DE ELETROCALHAS COM VERGALHÃO (TIRANTE) COM ROSCA TOTAL Ø 1/4"X1000MM(MARVITEC REF. 1431 OU SIMILAR)</t>
  </si>
  <si>
    <t>CANTONEIRA "ZZ" PARA FIXAÇÃO DE  PERFILADO, REF. MOPA OU SIMILAR</t>
  </si>
  <si>
    <t>ELETROCALHA LISA,COM TAMPA,TIPO "U",200X100MM,TRATAMENTO SUP ERFICIAL PRE-ZINCADO A QUENTE,INCLUSIVE CONEXOES,ACESSORIOS E FIXACAO SUPERIOR.FORNECIMENTO E COLOCACAO</t>
  </si>
  <si>
    <t>15.018.0564-A</t>
  </si>
  <si>
    <t>TE VERTICAL DE DERIVACAO OU LATERAL,PARA ELETROCALHA PERFURA DA OU LISA,200X100MM.FORNECIMENTO E COLOCACAO</t>
  </si>
  <si>
    <t>15.018.0784-0</t>
  </si>
  <si>
    <t>CURVA HORIZONTAL,90º,PARA ELETROCALHA PERFURADA OU LISA,200X 100MM.FORNECIMENTO E COLOCACAO</t>
  </si>
  <si>
    <t>15.018.0624-A</t>
  </si>
  <si>
    <t>CURVA DE INVERSAO,90º,PARA ELETROCALHA PERFURADA OU LISA,200 X100MM.FORNECIMENTO E COLOCACAO</t>
  </si>
  <si>
    <t>15.018.0744-0</t>
  </si>
  <si>
    <t>EMENDA INTERNA 200 X 100 MM COM BASE LISA PERFURADA PARA ELETROCALHA METÁLICA(REF. MOPA OU SIMILAR)</t>
  </si>
  <si>
    <t>CABO TELEFÔNICO CI-50 50 PARES INSTALADO EM ENTRADA DE EDIFICAÇÃO - FORNECIMENTO E INSTALAÇÃO. AF_11/2019</t>
  </si>
  <si>
    <t>MÓDULO PARA REDE (CONECTOR RJ45 CAT.6), INCLUSIVE
FORNECIMENTO E INSTALAÇÃO, EXCLUSIVE PLACA E SUPORTE</t>
  </si>
  <si>
    <t>PATCH PANEL DESCARREGADO 19'' - 1U</t>
  </si>
  <si>
    <t>CABO DE COBRE FLEXÍVEL ISOLADO, 2,5 MM², ANTI-CHAMA 0,6/1,0 KV, PARA CIRCUITOS TERMINAIS - FORNECIMENTO E INSTALAÇÃO. AF_03/2023</t>
  </si>
  <si>
    <t>TOMADA BAIXA DE EMBUTIR (4 MÓDULOS), 2P+T 10 A, INCLUINDO SUPORTE E PLACA - FORNECIMENTO E INSTALAÇÃO. AF_03/2023</t>
  </si>
  <si>
    <t>CAIXA RETANGULAR 4" X 4" MÉDIA (1,30 M DO PISO), PVC, INSTALADA EM PAREDE - FORNECIMENTO E INSTALAÇÃO. AF_03/2023</t>
  </si>
  <si>
    <t>INTERRUPTOR SIMPLES (1 MÓDULO), 10A/250V, INCLUINDO SUPORTE E PLACA - FORNECIMENTO E INSTALAÇÃO. AF_03/2023</t>
  </si>
  <si>
    <t>INTERRUPTOR SIMPLES (2 MÓDULOS), 10A/250V, INCLUINDO SUPORTE E PLACA - FORNECIMENTO E INSTALAÇÃO. AF_03/2023</t>
  </si>
  <si>
    <t>QUADRO DE FORÇA QDCE-04B -4º PAVIMENTO</t>
  </si>
  <si>
    <t xml:space="preserve">ALIMENTAÇÃO QUADRO ELÉTRICO QDCE-04B </t>
  </si>
  <si>
    <t>CHAVE REVERSORA (1-0-2) 4P 100A</t>
  </si>
  <si>
    <t>NOBREAK 30 KVA TRIFÁSICO - FORNECIMENTO E INTALAÇÃO</t>
  </si>
  <si>
    <t>CHAVE REVERSORA (1-0-2) 4P 100A - FORNECIMENTO E INTALAÇÃO</t>
  </si>
  <si>
    <t>QUADRO DE DISTRIBUIÇÃO DE ENERGIA EM CHAPA DE AÇO GALVANIZADO, DE EMBUTIR, COM BARRAMENTO TRIFÁSICO, PARA 30 DISJUNTORES DIN 150A - FORNECIMENTO E INSTALAÇÃO. AF_10/2020</t>
  </si>
  <si>
    <t>CABO DE COBRE FLEXÍVEL DE 3 X 1,5 MM², ISOLAMENTO 500 V - ISOLAÇÃO PP 70°C</t>
  </si>
  <si>
    <t>39.24.151</t>
  </si>
  <si>
    <t>CONECTOR RETO METÁLICO DE 1 1/2´</t>
  </si>
  <si>
    <t>CONECTOR RETO METÁLICO DE 1 1/2</t>
  </si>
  <si>
    <t>TOKLED</t>
  </si>
  <si>
    <t>ELETRICAPOLO</t>
  </si>
  <si>
    <t>ABRAÇADEIRA METÁLICA TIPO "D" DE 1 1/2"</t>
  </si>
  <si>
    <t>CABO DE COBRE FLEXÍVEL DE 3 X 2,5 MM², ISOLAMENTO 0,6/1 KV - ISOLAÇÃO HEPR 90°C</t>
  </si>
  <si>
    <t>39.24.152</t>
  </si>
  <si>
    <t>TABUA APARELHADA *2,5 X 25* CM, EM MACARANDUBA/MASSARANDUBA, ANGELIM OU EQUIVALENTE DA REGIAO</t>
  </si>
  <si>
    <t>PARAFUSO DRY WALL, EM ACO ZINCADO, CABECA LENTILHA E PONTA BROCA (LB), LARGURA 4,2 MM, COMPRIMENTO 13 MM</t>
  </si>
  <si>
    <t>PINO DE ACO COM ARRUELA CONICA, DIAMETRO ARRUELA = *23* MM E COMP HASTE *27* MM (ACAO INDIRETA)</t>
  </si>
  <si>
    <t>PLACA / CHAPA DE GESSO ACARTONADO, STANDARD (ST), COR BRANCA, E = 12,5 MM, 1200 X 2400 MM (L X C)</t>
  </si>
  <si>
    <t>PERFIL GUIA, FORMATO U, EM ACO ZINCADO, PARA ESTRUTURA PAREDE DRYWALL, E = 0,5 MM, 70 X 3000 MM (L X C)</t>
  </si>
  <si>
    <t>PERFIL MONTANTE, FORMATO C, EM ACO ZINCADO, PARA ESTRUTURA PAREDE DRYWALL, E = 0,5 MM, 70 X 3000 MM (L X C)</t>
  </si>
  <si>
    <t>FITA DE PAPEL MICROPERFURADO, 50 X 150 MM, PARA TRATAMENTO DE JUNTAS DE CHAPA DE GESSO PARA DRYWALL</t>
  </si>
  <si>
    <t>FITA DE PAPEL REFORCADA COM LAMINA DE METAL PARA REFORCO DE CANTOS DE CHAPA DE GESSO PARA DRYWALL</t>
  </si>
  <si>
    <t>MASSA DE REJUNTE EM PO PARA DRYWALL, A BASE DE GESSO, SECAGEM RAPIDA, PARA TRATAMENTO DE JUNTAS DE CHAPA DE GESSO (NECESSITA ADICAO DE AGUA)</t>
  </si>
  <si>
    <t>PARAFUSO DRY WALL, EM ACO FOSFATIZADO, CABECA TROMBETA E PONTA AGULHA (TA), COMPRIMENTO 25 MM</t>
  </si>
  <si>
    <t>PARAFUSO DRY WALL, EM ACO FOSFATIZADO, CABECA TROMBETA E PONTA AGULHA (TA), COMPRIMENTO 45 MM</t>
  </si>
  <si>
    <t>TJMMG-CP-08</t>
  </si>
  <si>
    <t xml:space="preserve"> TJMMG-CP-09</t>
  </si>
  <si>
    <t>TJMMG-CP-10</t>
  </si>
  <si>
    <t>TJMMG-CP-11</t>
  </si>
  <si>
    <t xml:space="preserve"> TJMMG-CP-12</t>
  </si>
  <si>
    <t xml:space="preserve"> TJMMG-CP-13</t>
  </si>
  <si>
    <t xml:space="preserve"> TJMMG-CP-14</t>
  </si>
  <si>
    <t>TJMMG-CP-16</t>
  </si>
  <si>
    <t>TJMMG-CP-17</t>
  </si>
  <si>
    <t>TJMMG-CP-22</t>
  </si>
  <si>
    <t>TJMMG-CP-23</t>
  </si>
  <si>
    <t>SUPORTE PARA PLACA 4"X4" PARA SEIS (6) MÓDULOS, INCLUSIVE PARAFUSOS PARA FIXAÇÃO, FORNECIMENTO E INSTALAÇÃO, EXCLUSIVE PLACA E MÓDULO</t>
  </si>
  <si>
    <t xml:space="preserve"> TJMMG-CP-32</t>
  </si>
  <si>
    <t xml:space="preserve"> TJMMG-CP-33</t>
  </si>
  <si>
    <t xml:space="preserve"> TJMMG-CP-34</t>
  </si>
  <si>
    <t xml:space="preserve"> TJMMG-CP-35</t>
  </si>
  <si>
    <t xml:space="preserve"> TJMMG-CP-36</t>
  </si>
  <si>
    <t xml:space="preserve"> TJMMG-CP-37</t>
  </si>
  <si>
    <t xml:space="preserve"> TJMMG-CP-38</t>
  </si>
  <si>
    <t xml:space="preserve"> TJMMG-CP-39</t>
  </si>
  <si>
    <t xml:space="preserve"> TJMMG-CP-40</t>
  </si>
  <si>
    <t xml:space="preserve"> TJMMG-CP-41</t>
  </si>
  <si>
    <t xml:space="preserve"> TJMMG-CP-42</t>
  </si>
  <si>
    <t>TJMMG-CP-46</t>
  </si>
  <si>
    <t>TJMMG-CP-47</t>
  </si>
  <si>
    <t>TJMMG-CP-48</t>
  </si>
  <si>
    <t>TJMMG-CP-49</t>
  </si>
  <si>
    <t>TJMMG-CP-50</t>
  </si>
  <si>
    <t>TJMMG-CP-51</t>
  </si>
  <si>
    <t>TJMMG-CP-52</t>
  </si>
  <si>
    <t xml:space="preserve"> TJMMG-CP-43</t>
  </si>
  <si>
    <t xml:space="preserve"> TJMMG-CP-44</t>
  </si>
  <si>
    <t>TJMMG-CP-53</t>
  </si>
  <si>
    <t>TJMMG-CP-54</t>
  </si>
  <si>
    <t>TJMMG-CP-55</t>
  </si>
  <si>
    <t>FOCOIT</t>
  </si>
  <si>
    <t>UPPERSEG</t>
  </si>
  <si>
    <t xml:space="preserve"> TJMMG-CP-45</t>
  </si>
  <si>
    <t>TJMMG-CP-56</t>
  </si>
  <si>
    <t xml:space="preserve"> ELETRICA SF</t>
  </si>
  <si>
    <t xml:space="preserve"> VIEW TECH</t>
  </si>
  <si>
    <t>NOBREAK 30 KVA TRIFÁSICO</t>
  </si>
  <si>
    <t>IFONTECH</t>
  </si>
  <si>
    <t>MICROSAFE</t>
  </si>
  <si>
    <t>TERAC</t>
  </si>
  <si>
    <t>SANITARIA MARBELLA</t>
  </si>
  <si>
    <t>LEVEROS</t>
  </si>
  <si>
    <t>ZOOM</t>
  </si>
  <si>
    <t>ANHANGUERA FERRAMENTAS</t>
  </si>
  <si>
    <t xml:space="preserve"> DR DA BORRACHA</t>
  </si>
  <si>
    <t>CASA SIMOES</t>
  </si>
  <si>
    <t>PAPELARIA TOLEDO</t>
  </si>
  <si>
    <t>NUMERO DE CASAS</t>
  </si>
  <si>
    <t>SHOPEE</t>
  </si>
  <si>
    <t>ITCOMTECH</t>
  </si>
  <si>
    <t>RACK PISO</t>
  </si>
  <si>
    <t>COT-47</t>
  </si>
  <si>
    <t>COT-51</t>
  </si>
  <si>
    <t>COT-56</t>
  </si>
  <si>
    <t>REV_04</t>
  </si>
  <si>
    <t>SETEMBRO_2024</t>
  </si>
  <si>
    <t>6.2</t>
  </si>
  <si>
    <t>7.2.3</t>
  </si>
  <si>
    <t>7.2.6</t>
  </si>
  <si>
    <t>7.2.7</t>
  </si>
  <si>
    <t>7.3.2</t>
  </si>
  <si>
    <t>7.3.6</t>
  </si>
  <si>
    <t>7.6.7</t>
  </si>
  <si>
    <t>7.6.8</t>
  </si>
  <si>
    <t>7.6.9</t>
  </si>
  <si>
    <t>7.6.10</t>
  </si>
  <si>
    <t>7.6.11</t>
  </si>
  <si>
    <t>7.6.12</t>
  </si>
  <si>
    <t>7.6.13</t>
  </si>
  <si>
    <t>7.6.14</t>
  </si>
  <si>
    <t>7.6.15</t>
  </si>
  <si>
    <t>8.1.2</t>
  </si>
  <si>
    <t>8.2.3</t>
  </si>
  <si>
    <t>8.2.4</t>
  </si>
  <si>
    <t>8.2.5</t>
  </si>
  <si>
    <t>8.2.6</t>
  </si>
  <si>
    <t>8.2.7</t>
  </si>
  <si>
    <t>8.2.8</t>
  </si>
  <si>
    <t>8.3.5</t>
  </si>
  <si>
    <t>8.3.6</t>
  </si>
  <si>
    <t>8.3.7</t>
  </si>
  <si>
    <t>8.4.7</t>
  </si>
  <si>
    <t>8.4.8</t>
  </si>
  <si>
    <t>8.4.9</t>
  </si>
  <si>
    <t>8.4.10</t>
  </si>
  <si>
    <t>8.6</t>
  </si>
  <si>
    <t>8.6.1</t>
  </si>
  <si>
    <t>8.6.2</t>
  </si>
  <si>
    <t>8.6.3</t>
  </si>
  <si>
    <t>8.6.4</t>
  </si>
  <si>
    <t>8.6.5</t>
  </si>
  <si>
    <t>8.6.6</t>
  </si>
  <si>
    <t>8.6.7</t>
  </si>
  <si>
    <t>8.6.8</t>
  </si>
  <si>
    <t>8.6.9</t>
  </si>
  <si>
    <t>8.6.10</t>
  </si>
  <si>
    <t>8.7</t>
  </si>
  <si>
    <t>8.7.1</t>
  </si>
  <si>
    <t>8.7.2</t>
  </si>
  <si>
    <t>8.7.3</t>
  </si>
  <si>
    <t>8.7.4</t>
  </si>
  <si>
    <t>8.7.5</t>
  </si>
  <si>
    <t>8.7.6</t>
  </si>
  <si>
    <t>9.2.17</t>
  </si>
  <si>
    <t>9.3.3</t>
  </si>
  <si>
    <t>9.5.11</t>
  </si>
  <si>
    <t>9.5.12</t>
  </si>
  <si>
    <t>9.5.13</t>
  </si>
  <si>
    <t>9.5.14</t>
  </si>
  <si>
    <t>9.5.15</t>
  </si>
  <si>
    <t>9.6.5</t>
  </si>
  <si>
    <t>9.6.6</t>
  </si>
  <si>
    <t>9.6.7</t>
  </si>
  <si>
    <t>9.6.8</t>
  </si>
  <si>
    <t>9.6.9</t>
  </si>
  <si>
    <t>9.6.10</t>
  </si>
  <si>
    <t>9.6.11</t>
  </si>
  <si>
    <t>SINAPI MG 08/2024 / SETOP CENTRAL 04/2024 / ORSE SE 06/2024 / SBC 09/2024 / SUDECAP 04/2024 / CPOS 06/2024 / EMOP 08/2024</t>
  </si>
  <si>
    <t>FORNECIMENTO E INSTALAÇÃO DE PLACA DE OBRA COM CHAPA GALVANIZADA E ESTRUTURA DE MADEIRA. AF_03/2022_PS</t>
  </si>
  <si>
    <t>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</si>
</sst>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R$&quot;\ #,##0.00;[Red]\-&quot;R$&quot;\ #,##0.00"/>
    <numFmt numFmtId="44" formatCode="_-&quot;R$&quot;\ * #,##0.00_-;\-&quot;R$&quot;\ * #,##0.00_-;_-&quot;R$&quot;\ * &quot;-&quot;??_-;_-@_-"/>
    <numFmt numFmtId="43" formatCode="_-* #,##0.00_-;\-* #,##0.00_-;_-* &quot;-&quot;??_-;_-@_-"/>
    <numFmt numFmtId="164" formatCode="&quot;R$&quot;\ #,##0.00"/>
    <numFmt numFmtId="165" formatCode="&quot;R$&quot;#,##0.00;[Red]\-&quot;R$&quot;#,##0.00"/>
    <numFmt numFmtId="166" formatCode="#,##0.000"/>
    <numFmt numFmtId="167" formatCode="&quot;BDI:&quot;\ 0.00%"/>
    <numFmt numFmtId="168" formatCode="&quot;FONTE&quot;\ 00&quot;:&quot;"/>
    <numFmt numFmtId="169" formatCode="0.00\ &quot;Km&quot;"/>
    <numFmt numFmtId="170" formatCode="&quot;COTAÇÃO&quot;\ 00"/>
    <numFmt numFmtId="171" formatCode="0.0000"/>
    <numFmt numFmtId="172" formatCode="0\ &quot;MESES&quot;\ "/>
    <numFmt numFmtId="173" formatCode="0\ &quot;Meses&quot;"/>
    <numFmt numFmtId="174" formatCode="0.000"/>
  </numFmts>
  <fonts count="29" x14ac:knownFonts="1">
    <font>
      <sz val="11"/>
      <color theme="1"/>
      <name val="Calibri"/>
      <family val="2"/>
      <scheme val="minor"/>
    </font>
    <font>
      <sz val="11"/>
      <color theme="1"/>
      <name val="Calibri"/>
      <family val="2"/>
      <scheme val="minor"/>
    </font>
    <font>
      <sz val="11"/>
      <name val="Arial"/>
      <family val="2"/>
    </font>
    <font>
      <b/>
      <sz val="11"/>
      <name val="Arial"/>
      <family val="2"/>
    </font>
    <font>
      <sz val="11"/>
      <name val="Calibri"/>
      <family val="2"/>
      <scheme val="minor"/>
    </font>
    <font>
      <b/>
      <sz val="9"/>
      <name val="Arial"/>
      <family val="2"/>
    </font>
    <font>
      <sz val="8"/>
      <name val="Arial"/>
      <family val="2"/>
    </font>
    <font>
      <b/>
      <sz val="8"/>
      <name val="Arial"/>
      <family val="2"/>
    </font>
    <font>
      <sz val="9"/>
      <name val="Arial"/>
      <family val="2"/>
    </font>
    <font>
      <sz val="10"/>
      <name val="Arial"/>
      <family val="2"/>
    </font>
    <font>
      <b/>
      <sz val="16"/>
      <name val="Arial"/>
      <family val="2"/>
    </font>
    <font>
      <b/>
      <sz val="10"/>
      <name val="Arial"/>
      <family val="2"/>
    </font>
    <font>
      <b/>
      <sz val="9"/>
      <name val="Calibri"/>
      <family val="2"/>
    </font>
    <font>
      <sz val="9"/>
      <name val="Calibri"/>
      <family val="2"/>
    </font>
    <font>
      <sz val="8"/>
      <name val="Calibri"/>
      <family val="2"/>
    </font>
    <font>
      <sz val="8"/>
      <name val="Calibri"/>
      <family val="2"/>
      <scheme val="minor"/>
    </font>
    <font>
      <i/>
      <sz val="11"/>
      <name val="Calibri"/>
      <family val="2"/>
      <scheme val="minor"/>
    </font>
    <font>
      <i/>
      <sz val="11"/>
      <name val="Calibri"/>
      <family val="2"/>
    </font>
    <font>
      <b/>
      <sz val="12"/>
      <name val="Calibri"/>
      <family val="2"/>
      <scheme val="minor"/>
    </font>
    <font>
      <b/>
      <i/>
      <sz val="11"/>
      <name val="Calibri"/>
      <family val="2"/>
      <scheme val="minor"/>
    </font>
    <font>
      <b/>
      <sz val="11"/>
      <name val="Calibri"/>
      <family val="2"/>
      <scheme val="minor"/>
    </font>
    <font>
      <sz val="9"/>
      <name val="Calibri"/>
      <family val="2"/>
      <scheme val="minor"/>
    </font>
    <font>
      <b/>
      <sz val="12"/>
      <name val="Arial"/>
      <family val="2"/>
    </font>
    <font>
      <b/>
      <sz val="12"/>
      <name val="Calibri"/>
      <family val="2"/>
    </font>
    <font>
      <b/>
      <i/>
      <sz val="11"/>
      <name val="Calibri"/>
      <family val="2"/>
    </font>
    <font>
      <b/>
      <sz val="11"/>
      <name val="Calibri"/>
      <family val="2"/>
    </font>
    <font>
      <b/>
      <sz val="14"/>
      <name val="Arial"/>
      <family val="2"/>
    </font>
    <font>
      <sz val="10"/>
      <name val="Calibri"/>
      <family val="2"/>
      <scheme val="minor"/>
    </font>
    <font>
      <sz val="28"/>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gray0625">
        <fgColor indexed="9"/>
        <bgColor theme="0"/>
      </patternFill>
    </fill>
    <fill>
      <patternFill patternType="gray0625">
        <fgColor indexed="9"/>
        <bgColor theme="9" tint="0.79998168889431442"/>
      </patternFill>
    </fill>
    <fill>
      <patternFill patternType="solid">
        <fgColor rgb="FFD8D8D8"/>
        <bgColor rgb="FFD8D8D8"/>
      </patternFill>
    </fill>
    <fill>
      <patternFill patternType="solid">
        <fgColor theme="0"/>
        <bgColor theme="0"/>
      </patternFill>
    </fill>
    <fill>
      <patternFill patternType="solid">
        <fgColor rgb="FFFFFF00"/>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5"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0" fontId="2" fillId="0" borderId="0"/>
  </cellStyleXfs>
  <cellXfs count="56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44" fontId="3" fillId="2" borderId="2" xfId="2" applyFont="1" applyFill="1" applyBorder="1" applyAlignment="1">
      <alignment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2" xfId="0" applyFont="1" applyFill="1" applyBorder="1" applyAlignment="1">
      <alignment vertical="center" wrapText="1"/>
    </xf>
    <xf numFmtId="0" fontId="5" fillId="5" borderId="14" xfId="0" applyFont="1" applyFill="1" applyBorder="1" applyAlignment="1">
      <alignment horizontal="center" vertical="center"/>
    </xf>
    <xf numFmtId="0" fontId="8" fillId="5" borderId="27" xfId="0" applyFont="1" applyFill="1" applyBorder="1" applyAlignment="1">
      <alignment horizontal="center" vertical="center"/>
    </xf>
    <xf numFmtId="10" fontId="8" fillId="5" borderId="28" xfId="4" applyNumberFormat="1" applyFont="1" applyFill="1" applyBorder="1" applyAlignment="1" applyProtection="1">
      <alignment horizontal="center" vertical="center"/>
      <protection locked="0"/>
    </xf>
    <xf numFmtId="10" fontId="8" fillId="0" borderId="29" xfId="4" applyNumberFormat="1" applyFont="1" applyBorder="1" applyAlignment="1" applyProtection="1">
      <alignment horizontal="center" vertical="center"/>
    </xf>
    <xf numFmtId="4" fontId="8" fillId="5" borderId="31" xfId="0" applyNumberFormat="1" applyFont="1" applyFill="1" applyBorder="1" applyAlignment="1">
      <alignment horizontal="center" vertical="center"/>
    </xf>
    <xf numFmtId="4" fontId="8" fillId="5" borderId="32" xfId="0" applyNumberFormat="1" applyFont="1" applyFill="1" applyBorder="1" applyAlignment="1">
      <alignment horizontal="center" vertical="center"/>
    </xf>
    <xf numFmtId="4" fontId="8" fillId="5" borderId="33" xfId="0" applyNumberFormat="1" applyFont="1" applyFill="1" applyBorder="1" applyAlignment="1">
      <alignment horizontal="center" vertical="center"/>
    </xf>
    <xf numFmtId="165" fontId="8" fillId="5" borderId="35" xfId="0" applyNumberFormat="1" applyFont="1" applyFill="1" applyBorder="1" applyAlignment="1">
      <alignment horizontal="center" vertical="center"/>
    </xf>
    <xf numFmtId="165" fontId="8" fillId="5" borderId="36" xfId="0" applyNumberFormat="1" applyFont="1" applyFill="1" applyBorder="1" applyAlignment="1">
      <alignment horizontal="center" vertical="center"/>
    </xf>
    <xf numFmtId="165" fontId="8" fillId="5" borderId="37" xfId="0" applyNumberFormat="1" applyFont="1" applyFill="1" applyBorder="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5" borderId="38" xfId="0" applyFont="1" applyFill="1" applyBorder="1" applyAlignment="1">
      <alignment horizontal="center" vertical="center"/>
    </xf>
    <xf numFmtId="0" fontId="8" fillId="5" borderId="39" xfId="0" applyFont="1" applyFill="1" applyBorder="1" applyAlignment="1">
      <alignment horizontal="center" vertical="center"/>
    </xf>
    <xf numFmtId="10" fontId="6" fillId="0" borderId="0" xfId="0" applyNumberFormat="1" applyFont="1" applyAlignment="1">
      <alignment vertical="center"/>
    </xf>
    <xf numFmtId="4" fontId="6" fillId="0" borderId="0" xfId="0" applyNumberFormat="1" applyFont="1" applyAlignment="1">
      <alignment vertical="center"/>
    </xf>
    <xf numFmtId="0" fontId="5" fillId="5" borderId="42" xfId="0" applyFont="1" applyFill="1" applyBorder="1" applyAlignment="1">
      <alignment horizontal="left" vertical="center"/>
    </xf>
    <xf numFmtId="0" fontId="5" fillId="5" borderId="40" xfId="0" applyFont="1" applyFill="1" applyBorder="1" applyAlignment="1">
      <alignment vertical="center"/>
    </xf>
    <xf numFmtId="165" fontId="5" fillId="5" borderId="8" xfId="0" applyNumberFormat="1" applyFont="1" applyFill="1" applyBorder="1" applyAlignment="1">
      <alignment horizontal="center" vertical="center"/>
    </xf>
    <xf numFmtId="10" fontId="5" fillId="5" borderId="43" xfId="0" applyNumberFormat="1" applyFont="1" applyFill="1" applyBorder="1" applyAlignment="1">
      <alignment horizontal="center" vertical="center"/>
    </xf>
    <xf numFmtId="0" fontId="12" fillId="5" borderId="9" xfId="0" applyFont="1" applyFill="1" applyBorder="1"/>
    <xf numFmtId="0" fontId="13" fillId="5" borderId="9" xfId="0" applyFont="1" applyFill="1" applyBorder="1" applyAlignment="1">
      <alignment horizontal="center"/>
    </xf>
    <xf numFmtId="0" fontId="9" fillId="5" borderId="12" xfId="0" applyFont="1" applyFill="1" applyBorder="1" applyAlignment="1">
      <alignment wrapText="1"/>
    </xf>
    <xf numFmtId="0" fontId="13" fillId="5" borderId="12" xfId="0" applyFont="1" applyFill="1" applyBorder="1" applyAlignment="1">
      <alignment wrapText="1"/>
    </xf>
    <xf numFmtId="0" fontId="13" fillId="5" borderId="12" xfId="0" applyFont="1" applyFill="1" applyBorder="1" applyAlignment="1">
      <alignment horizontal="center"/>
    </xf>
    <xf numFmtId="0" fontId="4" fillId="0" borderId="1" xfId="0" applyFont="1" applyBorder="1" applyAlignment="1">
      <alignment horizontal="center" vertical="center" wrapText="1"/>
    </xf>
    <xf numFmtId="4" fontId="3" fillId="5" borderId="0" xfId="0" applyNumberFormat="1" applyFont="1" applyFill="1" applyAlignment="1">
      <alignment horizontal="right" vertical="center" wrapText="1"/>
    </xf>
    <xf numFmtId="0" fontId="7" fillId="6" borderId="0" xfId="0" applyFont="1" applyFill="1" applyAlignment="1">
      <alignment vertical="center" wrapText="1"/>
    </xf>
    <xf numFmtId="2" fontId="4" fillId="0" borderId="11" xfId="0" applyNumberFormat="1" applyFont="1" applyBorder="1" applyAlignment="1">
      <alignment horizontal="center"/>
    </xf>
    <xf numFmtId="0" fontId="4" fillId="0" borderId="0" xfId="0" applyFont="1" applyAlignment="1">
      <alignment horizontal="center"/>
    </xf>
    <xf numFmtId="165" fontId="8" fillId="5" borderId="24" xfId="0" applyNumberFormat="1" applyFont="1" applyFill="1" applyBorder="1" applyAlignment="1">
      <alignment horizontal="center" vertical="center"/>
    </xf>
    <xf numFmtId="165" fontId="8" fillId="5" borderId="51" xfId="0" applyNumberFormat="1" applyFont="1" applyFill="1" applyBorder="1" applyAlignment="1">
      <alignment horizontal="center" vertical="center"/>
    </xf>
    <xf numFmtId="0" fontId="14" fillId="5" borderId="12" xfId="0" applyFont="1" applyFill="1" applyBorder="1"/>
    <xf numFmtId="0" fontId="14" fillId="5" borderId="13" xfId="0" applyFont="1" applyFill="1" applyBorder="1"/>
    <xf numFmtId="165" fontId="8" fillId="5" borderId="10" xfId="0" applyNumberFormat="1" applyFont="1" applyFill="1" applyBorder="1" applyAlignment="1">
      <alignment horizontal="center" vertical="center"/>
    </xf>
    <xf numFmtId="0" fontId="3" fillId="4" borderId="20"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6" xfId="1" applyNumberFormat="1" applyFont="1" applyFill="1" applyBorder="1" applyAlignment="1">
      <alignment horizontal="center" vertical="center" wrapText="1"/>
    </xf>
    <xf numFmtId="0" fontId="3" fillId="4" borderId="7" xfId="1" applyNumberFormat="1" applyFont="1" applyFill="1" applyBorder="1" applyAlignment="1">
      <alignment horizontal="center" vertical="center" wrapText="1"/>
    </xf>
    <xf numFmtId="166" fontId="3" fillId="7" borderId="16" xfId="0" applyNumberFormat="1" applyFont="1" applyFill="1" applyBorder="1" applyAlignment="1">
      <alignment horizontal="left" vertical="center"/>
    </xf>
    <xf numFmtId="166" fontId="3" fillId="7" borderId="17" xfId="0" applyNumberFormat="1" applyFont="1" applyFill="1" applyBorder="1" applyAlignment="1">
      <alignment horizontal="left" vertical="center"/>
    </xf>
    <xf numFmtId="166" fontId="3" fillId="7" borderId="18" xfId="0" applyNumberFormat="1" applyFont="1" applyFill="1" applyBorder="1" applyAlignment="1">
      <alignment horizontal="left" vertical="center"/>
    </xf>
    <xf numFmtId="0" fontId="14" fillId="5" borderId="18" xfId="0" applyFont="1" applyFill="1" applyBorder="1"/>
    <xf numFmtId="0" fontId="9" fillId="7" borderId="0" xfId="0" applyFont="1" applyFill="1" applyAlignment="1">
      <alignment vertical="center"/>
    </xf>
    <xf numFmtId="0" fontId="9" fillId="7" borderId="12" xfId="0" applyFont="1" applyFill="1" applyBorder="1" applyAlignment="1">
      <alignment vertical="center"/>
    </xf>
    <xf numFmtId="0" fontId="9" fillId="7" borderId="9" xfId="0" applyFont="1" applyFill="1" applyBorder="1" applyAlignment="1">
      <alignment vertical="center"/>
    </xf>
    <xf numFmtId="165" fontId="16" fillId="5" borderId="10" xfId="0" applyNumberFormat="1" applyFont="1" applyFill="1" applyBorder="1" applyAlignment="1" applyProtection="1">
      <alignment horizontal="center" vertical="center"/>
      <protection locked="0"/>
    </xf>
    <xf numFmtId="165" fontId="16" fillId="5" borderId="11"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44" fontId="3" fillId="0" borderId="0" xfId="0" applyNumberFormat="1" applyFont="1" applyAlignment="1">
      <alignment vertical="center"/>
    </xf>
    <xf numFmtId="0" fontId="4" fillId="3" borderId="17" xfId="0" applyFont="1" applyFill="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44" fontId="4" fillId="0" borderId="0" xfId="2" applyFont="1" applyBorder="1" applyAlignment="1">
      <alignment horizontal="center" vertical="center"/>
    </xf>
    <xf numFmtId="44" fontId="4" fillId="0" borderId="11" xfId="2" applyFont="1" applyBorder="1" applyAlignment="1">
      <alignment horizontal="center" vertical="center"/>
    </xf>
    <xf numFmtId="44" fontId="4" fillId="0" borderId="0" xfId="2" applyFont="1" applyFill="1" applyBorder="1" applyAlignment="1">
      <alignment horizontal="center" vertical="center"/>
    </xf>
    <xf numFmtId="44" fontId="4" fillId="3" borderId="0" xfId="2" applyFont="1" applyFill="1" applyBorder="1" applyAlignment="1">
      <alignment horizontal="center" vertical="center"/>
    </xf>
    <xf numFmtId="44" fontId="4" fillId="3" borderId="11" xfId="2" applyFont="1" applyFill="1" applyBorder="1" applyAlignment="1">
      <alignment horizontal="center" vertical="center"/>
    </xf>
    <xf numFmtId="0" fontId="4" fillId="3" borderId="17" xfId="0" applyFont="1" applyFill="1" applyBorder="1" applyAlignment="1">
      <alignment horizontal="center" vertical="center" wrapText="1"/>
    </xf>
    <xf numFmtId="0" fontId="4" fillId="0" borderId="0" xfId="0" applyFont="1"/>
    <xf numFmtId="0" fontId="4" fillId="0" borderId="1" xfId="0" applyFont="1" applyBorder="1" applyAlignment="1">
      <alignment horizontal="center" vertical="center"/>
    </xf>
    <xf numFmtId="2" fontId="4" fillId="0" borderId="1" xfId="0" applyNumberFormat="1" applyFont="1" applyBorder="1" applyAlignment="1">
      <alignment horizontal="center" vertical="center"/>
    </xf>
    <xf numFmtId="44" fontId="4" fillId="0" borderId="1" xfId="2" applyFont="1" applyFill="1" applyBorder="1" applyAlignment="1">
      <alignment horizontal="center" vertical="center"/>
    </xf>
    <xf numFmtId="44" fontId="4" fillId="0" borderId="0" xfId="2" applyFont="1" applyFill="1"/>
    <xf numFmtId="44" fontId="4" fillId="0" borderId="1" xfId="2" applyFont="1" applyFill="1" applyBorder="1" applyAlignment="1">
      <alignment vertical="center"/>
    </xf>
    <xf numFmtId="49" fontId="4" fillId="0" borderId="1" xfId="0" applyNumberFormat="1" applyFont="1" applyBorder="1" applyAlignment="1">
      <alignment horizontal="center" vertical="center" wrapText="1"/>
    </xf>
    <xf numFmtId="0" fontId="17" fillId="10" borderId="47" xfId="0" applyFont="1" applyFill="1" applyBorder="1" applyAlignment="1">
      <alignment horizontal="left" vertical="center"/>
    </xf>
    <xf numFmtId="44" fontId="4" fillId="0" borderId="1" xfId="2" applyFont="1" applyBorder="1" applyAlignment="1">
      <alignment horizontal="center" vertical="center"/>
    </xf>
    <xf numFmtId="44" fontId="4" fillId="0" borderId="1" xfId="2" applyFont="1" applyBorder="1" applyAlignment="1">
      <alignment vertical="center"/>
    </xf>
    <xf numFmtId="49" fontId="4" fillId="0" borderId="1" xfId="0" applyNumberFormat="1" applyFont="1" applyBorder="1" applyAlignment="1">
      <alignment horizontal="center" vertical="center"/>
    </xf>
    <xf numFmtId="44" fontId="4" fillId="0" borderId="0" xfId="0" applyNumberFormat="1" applyFont="1"/>
    <xf numFmtId="44" fontId="3" fillId="2" borderId="2" xfId="0" applyNumberFormat="1" applyFont="1" applyFill="1" applyBorder="1" applyAlignment="1">
      <alignment vertical="center" wrapText="1"/>
    </xf>
    <xf numFmtId="49" fontId="18" fillId="3" borderId="21" xfId="0" applyNumberFormat="1" applyFont="1" applyFill="1" applyBorder="1" applyAlignment="1" applyProtection="1">
      <alignment horizontal="center" vertical="center"/>
      <protection locked="0"/>
    </xf>
    <xf numFmtId="0" fontId="19" fillId="3" borderId="19" xfId="0" applyFont="1" applyFill="1" applyBorder="1" applyAlignment="1" applyProtection="1">
      <alignment vertical="center" wrapText="1"/>
      <protection locked="0"/>
    </xf>
    <xf numFmtId="0" fontId="20" fillId="3" borderId="19" xfId="0" applyFont="1" applyFill="1" applyBorder="1" applyAlignment="1" applyProtection="1">
      <alignment horizontal="center" vertical="center"/>
      <protection locked="0"/>
    </xf>
    <xf numFmtId="14" fontId="20" fillId="3" borderId="19" xfId="0" applyNumberFormat="1" applyFont="1" applyFill="1" applyBorder="1" applyAlignment="1" applyProtection="1">
      <alignment horizontal="center" vertical="center"/>
      <protection locked="0"/>
    </xf>
    <xf numFmtId="165" fontId="20" fillId="3" borderId="22" xfId="0" applyNumberFormat="1" applyFont="1" applyFill="1" applyBorder="1" applyAlignment="1" applyProtection="1">
      <alignment horizontal="center" vertical="center"/>
      <protection locked="0"/>
    </xf>
    <xf numFmtId="168" fontId="20" fillId="5" borderId="17" xfId="0" applyNumberFormat="1" applyFont="1" applyFill="1" applyBorder="1" applyAlignment="1" applyProtection="1">
      <alignment horizontal="center" vertical="center"/>
      <protection locked="0"/>
    </xf>
    <xf numFmtId="0" fontId="16" fillId="5" borderId="9" xfId="0" applyFont="1" applyFill="1" applyBorder="1" applyAlignment="1" applyProtection="1">
      <alignment horizontal="left" vertical="center"/>
      <protection locked="0"/>
    </xf>
    <xf numFmtId="169" fontId="16" fillId="5" borderId="9" xfId="0" applyNumberFormat="1" applyFont="1" applyFill="1" applyBorder="1" applyAlignment="1" applyProtection="1">
      <alignment horizontal="center" vertical="center"/>
      <protection locked="0"/>
    </xf>
    <xf numFmtId="0" fontId="20" fillId="5" borderId="9" xfId="0" applyFont="1" applyFill="1" applyBorder="1" applyAlignment="1" applyProtection="1">
      <alignment horizontal="right" vertical="center"/>
      <protection locked="0"/>
    </xf>
    <xf numFmtId="44" fontId="3" fillId="0" borderId="0" xfId="2" applyFont="1" applyFill="1" applyAlignment="1">
      <alignment vertical="center"/>
    </xf>
    <xf numFmtId="44" fontId="4" fillId="0" borderId="11" xfId="2" applyFont="1" applyFill="1" applyBorder="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center"/>
    </xf>
    <xf numFmtId="0" fontId="4" fillId="6" borderId="0" xfId="0" applyFont="1" applyFill="1"/>
    <xf numFmtId="4" fontId="2" fillId="5" borderId="9" xfId="0" applyNumberFormat="1" applyFont="1" applyFill="1" applyBorder="1" applyAlignment="1">
      <alignment vertical="center"/>
    </xf>
    <xf numFmtId="0" fontId="9" fillId="5" borderId="9" xfId="0" applyFont="1" applyFill="1" applyBorder="1"/>
    <xf numFmtId="167" fontId="3" fillId="5" borderId="24" xfId="3" applyNumberFormat="1" applyFont="1" applyFill="1" applyBorder="1" applyAlignment="1">
      <alignment horizontal="center"/>
    </xf>
    <xf numFmtId="0" fontId="3" fillId="5" borderId="41" xfId="0" applyFont="1" applyFill="1" applyBorder="1" applyAlignment="1">
      <alignment horizontal="center"/>
    </xf>
    <xf numFmtId="0" fontId="2" fillId="5" borderId="12" xfId="0" applyFont="1" applyFill="1" applyBorder="1" applyAlignment="1" applyProtection="1">
      <alignment horizontal="left" vertical="center"/>
      <protection locked="0"/>
    </xf>
    <xf numFmtId="14" fontId="3" fillId="0" borderId="25" xfId="0" applyNumberFormat="1" applyFont="1" applyBorder="1" applyAlignment="1">
      <alignment horizontal="center"/>
    </xf>
    <xf numFmtId="0" fontId="4" fillId="0" borderId="16" xfId="0" applyFont="1" applyBorder="1"/>
    <xf numFmtId="0" fontId="4" fillId="0" borderId="9" xfId="0" applyFont="1" applyBorder="1"/>
    <xf numFmtId="44" fontId="4" fillId="0" borderId="9" xfId="2" applyFont="1" applyBorder="1"/>
    <xf numFmtId="44" fontId="4" fillId="0" borderId="10" xfId="2" applyFont="1" applyBorder="1"/>
    <xf numFmtId="44" fontId="4" fillId="0" borderId="0" xfId="2" applyFont="1" applyAlignment="1">
      <alignment horizontal="center"/>
    </xf>
    <xf numFmtId="0" fontId="3" fillId="4" borderId="60"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3" fillId="4" borderId="62" xfId="1" applyNumberFormat="1" applyFont="1" applyFill="1" applyBorder="1" applyAlignment="1">
      <alignment horizontal="center" vertical="center" wrapText="1"/>
    </xf>
    <xf numFmtId="0" fontId="3" fillId="4" borderId="63" xfId="1" applyNumberFormat="1" applyFont="1" applyFill="1" applyBorder="1" applyAlignment="1">
      <alignment horizontal="center" vertical="center" wrapText="1"/>
    </xf>
    <xf numFmtId="44" fontId="4" fillId="0" borderId="0" xfId="2" applyFont="1" applyBorder="1" applyAlignment="1">
      <alignment horizontal="center"/>
    </xf>
    <xf numFmtId="44" fontId="4" fillId="0" borderId="11" xfId="2" applyFont="1" applyBorder="1" applyAlignment="1">
      <alignment horizontal="center"/>
    </xf>
    <xf numFmtId="0" fontId="4" fillId="12" borderId="1" xfId="0" applyFont="1" applyFill="1" applyBorder="1" applyAlignment="1">
      <alignment horizontal="center" vertical="center"/>
    </xf>
    <xf numFmtId="0" fontId="4" fillId="12" borderId="1" xfId="0" applyFont="1" applyFill="1" applyBorder="1" applyAlignment="1">
      <alignment horizontal="center" vertical="center" wrapText="1"/>
    </xf>
    <xf numFmtId="2" fontId="4" fillId="12" borderId="1" xfId="0" applyNumberFormat="1" applyFont="1" applyFill="1" applyBorder="1" applyAlignment="1">
      <alignment horizontal="center" vertical="center"/>
    </xf>
    <xf numFmtId="44" fontId="4" fillId="12" borderId="1" xfId="2" applyFont="1" applyFill="1" applyBorder="1" applyAlignment="1">
      <alignment horizontal="center" vertical="center"/>
    </xf>
    <xf numFmtId="0" fontId="4" fillId="12" borderId="49" xfId="0" applyFont="1" applyFill="1" applyBorder="1" applyAlignment="1">
      <alignment horizontal="center" vertical="center"/>
    </xf>
    <xf numFmtId="0" fontId="4" fillId="12" borderId="50" xfId="0" applyFont="1" applyFill="1" applyBorder="1" applyAlignment="1">
      <alignment horizontal="center" vertical="center"/>
    </xf>
    <xf numFmtId="0" fontId="20" fillId="0" borderId="17" xfId="0" applyFont="1" applyBorder="1" applyAlignment="1">
      <alignment horizontal="center"/>
    </xf>
    <xf numFmtId="0" fontId="20" fillId="0" borderId="0" xfId="0" applyFont="1" applyAlignment="1">
      <alignment horizontal="center"/>
    </xf>
    <xf numFmtId="2" fontId="20" fillId="0" borderId="11" xfId="0" applyNumberFormat="1" applyFont="1" applyBorder="1" applyAlignment="1">
      <alignment horizontal="center"/>
    </xf>
    <xf numFmtId="0" fontId="20" fillId="4" borderId="21" xfId="0" applyFont="1" applyFill="1" applyBorder="1" applyAlignment="1">
      <alignment horizontal="center"/>
    </xf>
    <xf numFmtId="0" fontId="20" fillId="4" borderId="19" xfId="0" applyFont="1" applyFill="1" applyBorder="1" applyAlignment="1">
      <alignment horizontal="center"/>
    </xf>
    <xf numFmtId="2" fontId="20" fillId="4" borderId="22" xfId="0" applyNumberFormat="1" applyFont="1" applyFill="1" applyBorder="1" applyAlignment="1">
      <alignment horizontal="center"/>
    </xf>
    <xf numFmtId="0" fontId="20" fillId="0" borderId="17" xfId="0" applyFont="1" applyBorder="1" applyAlignment="1">
      <alignment horizontal="center" vertical="center"/>
    </xf>
    <xf numFmtId="0" fontId="20" fillId="0" borderId="0" xfId="0" applyFont="1" applyAlignment="1">
      <alignment horizontal="center" vertical="center"/>
    </xf>
    <xf numFmtId="4" fontId="2" fillId="5" borderId="0" xfId="0" applyNumberFormat="1" applyFont="1" applyFill="1" applyAlignment="1">
      <alignment vertical="center"/>
    </xf>
    <xf numFmtId="0" fontId="9" fillId="5" borderId="0" xfId="0" applyFont="1" applyFill="1"/>
    <xf numFmtId="49" fontId="13" fillId="5" borderId="0" xfId="0" applyNumberFormat="1" applyFont="1" applyFill="1"/>
    <xf numFmtId="0" fontId="13" fillId="5" borderId="0" xfId="0" applyFont="1" applyFill="1" applyAlignment="1">
      <alignment horizont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49" fontId="4"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xf>
    <xf numFmtId="49" fontId="4" fillId="3" borderId="0" xfId="0" applyNumberFormat="1" applyFont="1" applyFill="1" applyAlignment="1">
      <alignment horizontal="center" vertical="center"/>
    </xf>
    <xf numFmtId="1" fontId="4" fillId="3" borderId="0" xfId="0" applyNumberFormat="1" applyFont="1" applyFill="1" applyAlignment="1">
      <alignment horizontal="center" vertical="center"/>
    </xf>
    <xf numFmtId="49" fontId="4" fillId="0" borderId="0" xfId="0" applyNumberFormat="1" applyFont="1" applyAlignment="1">
      <alignment horizontal="center"/>
    </xf>
    <xf numFmtId="49" fontId="4" fillId="3" borderId="0" xfId="0" applyNumberFormat="1" applyFont="1" applyFill="1" applyAlignment="1">
      <alignment horizontal="center" vertical="center" wrapText="1"/>
    </xf>
    <xf numFmtId="0" fontId="3" fillId="2" borderId="67" xfId="0" applyFont="1" applyFill="1" applyBorder="1" applyAlignment="1">
      <alignment horizontal="center" vertical="center" wrapText="1"/>
    </xf>
    <xf numFmtId="0" fontId="4" fillId="0" borderId="49" xfId="0" applyFont="1" applyBorder="1" applyAlignment="1">
      <alignment horizontal="center" vertical="center"/>
    </xf>
    <xf numFmtId="44" fontId="4" fillId="0" borderId="50" xfId="2" applyFont="1" applyFill="1" applyBorder="1" applyAlignment="1">
      <alignment horizontal="center"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44" fontId="2" fillId="0" borderId="0" xfId="2" applyFont="1" applyFill="1" applyAlignment="1">
      <alignment vertical="center"/>
    </xf>
    <xf numFmtId="44" fontId="20" fillId="3" borderId="59" xfId="0" applyNumberFormat="1" applyFont="1" applyFill="1" applyBorder="1" applyAlignment="1">
      <alignment horizontal="center" vertical="center"/>
    </xf>
    <xf numFmtId="14" fontId="3" fillId="5" borderId="41" xfId="0" applyNumberFormat="1" applyFont="1" applyFill="1" applyBorder="1" applyAlignment="1">
      <alignment horizontal="center"/>
    </xf>
    <xf numFmtId="14" fontId="3" fillId="5" borderId="25" xfId="0" applyNumberFormat="1" applyFont="1" applyFill="1" applyBorder="1" applyAlignment="1">
      <alignment horizontal="center"/>
    </xf>
    <xf numFmtId="44" fontId="4" fillId="0" borderId="0" xfId="2" applyFont="1" applyFill="1" applyAlignment="1">
      <alignment vertical="center"/>
    </xf>
    <xf numFmtId="44" fontId="4" fillId="0" borderId="0" xfId="0" applyNumberFormat="1" applyFont="1" applyAlignment="1">
      <alignment vertical="center"/>
    </xf>
    <xf numFmtId="0" fontId="4" fillId="0" borderId="0" xfId="0" applyFont="1" applyAlignment="1">
      <alignment vertical="center"/>
    </xf>
    <xf numFmtId="0" fontId="4" fillId="11" borderId="0" xfId="0" applyFont="1" applyFill="1" applyAlignment="1">
      <alignment vertical="center"/>
    </xf>
    <xf numFmtId="0" fontId="16" fillId="5" borderId="0" xfId="0" applyFont="1" applyFill="1" applyAlignment="1" applyProtection="1">
      <alignment horizontal="left" vertical="center"/>
      <protection locked="0"/>
    </xf>
    <xf numFmtId="169" fontId="16" fillId="5" borderId="0" xfId="0" applyNumberFormat="1" applyFont="1" applyFill="1" applyAlignment="1" applyProtection="1">
      <alignment horizontal="center" vertical="center"/>
      <protection locked="0"/>
    </xf>
    <xf numFmtId="0" fontId="20" fillId="5" borderId="0" xfId="0" applyFont="1" applyFill="1" applyAlignment="1" applyProtection="1">
      <alignment horizontal="right" vertical="center"/>
      <protection locked="0"/>
    </xf>
    <xf numFmtId="0" fontId="17" fillId="10" borderId="0" xfId="0" applyFont="1" applyFill="1" applyAlignment="1">
      <alignment horizontal="left" vertical="center"/>
    </xf>
    <xf numFmtId="0" fontId="4" fillId="0" borderId="0" xfId="0" applyFont="1" applyProtection="1">
      <protection locked="0"/>
    </xf>
    <xf numFmtId="44" fontId="4" fillId="0" borderId="0" xfId="2" applyFont="1" applyFill="1" applyProtection="1">
      <protection locked="0"/>
    </xf>
    <xf numFmtId="0" fontId="10" fillId="0" borderId="0" xfId="0" applyFont="1" applyAlignment="1">
      <alignment horizontal="left" vertical="center"/>
    </xf>
    <xf numFmtId="0" fontId="21" fillId="0" borderId="0" xfId="0" applyFont="1" applyAlignment="1">
      <alignment horizontal="left"/>
    </xf>
    <xf numFmtId="0" fontId="14" fillId="0" borderId="0" xfId="0" applyFont="1" applyAlignment="1">
      <alignment horizontal="left"/>
    </xf>
    <xf numFmtId="0" fontId="2" fillId="0" borderId="0" xfId="0" applyFont="1" applyAlignment="1">
      <alignment horizontal="left" vertical="center"/>
    </xf>
    <xf numFmtId="0" fontId="4" fillId="0" borderId="69" xfId="0" applyFont="1" applyBorder="1" applyAlignment="1">
      <alignment vertical="center"/>
    </xf>
    <xf numFmtId="0" fontId="4" fillId="0" borderId="3" xfId="0" applyFont="1" applyBorder="1" applyAlignment="1">
      <alignment vertical="center"/>
    </xf>
    <xf numFmtId="0" fontId="4" fillId="0" borderId="68" xfId="0" applyFont="1" applyBorder="1" applyAlignment="1">
      <alignment vertical="center"/>
    </xf>
    <xf numFmtId="0" fontId="4" fillId="0" borderId="17" xfId="0" applyFont="1" applyBorder="1" applyAlignment="1">
      <alignment vertical="center"/>
    </xf>
    <xf numFmtId="0" fontId="4" fillId="0" borderId="66" xfId="0" applyFont="1" applyBorder="1" applyAlignment="1">
      <alignment vertical="center"/>
    </xf>
    <xf numFmtId="0" fontId="4" fillId="0" borderId="67" xfId="0" applyFont="1" applyBorder="1" applyAlignment="1">
      <alignment vertical="center"/>
    </xf>
    <xf numFmtId="0" fontId="4" fillId="0" borderId="4" xfId="0" applyFont="1" applyBorder="1" applyAlignment="1">
      <alignment vertical="center"/>
    </xf>
    <xf numFmtId="0" fontId="4" fillId="0" borderId="21" xfId="0" applyFont="1" applyBorder="1"/>
    <xf numFmtId="0" fontId="4" fillId="0" borderId="19" xfId="0" applyFont="1" applyBorder="1"/>
    <xf numFmtId="0" fontId="4" fillId="0" borderId="22" xfId="0" applyFont="1" applyBorder="1"/>
    <xf numFmtId="0" fontId="3" fillId="13" borderId="67"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4" xfId="0" applyFont="1" applyFill="1" applyBorder="1" applyAlignment="1">
      <alignment vertical="center" wrapText="1"/>
    </xf>
    <xf numFmtId="0" fontId="3" fillId="13" borderId="2" xfId="0" applyFont="1" applyFill="1" applyBorder="1" applyAlignment="1">
      <alignment vertical="center" wrapText="1"/>
    </xf>
    <xf numFmtId="44" fontId="3" fillId="13" borderId="2" xfId="0" applyNumberFormat="1" applyFont="1" applyFill="1" applyBorder="1" applyAlignment="1">
      <alignment vertical="center" wrapText="1"/>
    </xf>
    <xf numFmtId="44" fontId="3" fillId="13" borderId="68" xfId="0" applyNumberFormat="1" applyFont="1" applyFill="1" applyBorder="1" applyAlignment="1">
      <alignment vertical="center" wrapText="1"/>
    </xf>
    <xf numFmtId="44" fontId="3" fillId="13" borderId="0" xfId="2" applyFont="1" applyFill="1" applyAlignment="1">
      <alignment vertical="center"/>
    </xf>
    <xf numFmtId="0" fontId="3" fillId="13" borderId="0" xfId="0" applyFont="1" applyFill="1" applyAlignment="1">
      <alignment vertical="center"/>
    </xf>
    <xf numFmtId="0" fontId="3" fillId="13" borderId="0" xfId="0" applyFont="1" applyFill="1" applyAlignment="1">
      <alignment horizontal="center" vertical="center"/>
    </xf>
    <xf numFmtId="2" fontId="3" fillId="13" borderId="4" xfId="0" applyNumberFormat="1" applyFont="1" applyFill="1" applyBorder="1" applyAlignment="1">
      <alignment vertical="center" wrapText="1"/>
    </xf>
    <xf numFmtId="44" fontId="2" fillId="0" borderId="0" xfId="0" applyNumberFormat="1" applyFont="1" applyAlignment="1">
      <alignment vertical="center"/>
    </xf>
    <xf numFmtId="0" fontId="4" fillId="14" borderId="8" xfId="0" applyFont="1" applyFill="1" applyBorder="1" applyAlignment="1">
      <alignment horizontal="center" vertical="center"/>
    </xf>
    <xf numFmtId="49" fontId="4" fillId="14" borderId="64" xfId="0" applyNumberFormat="1" applyFont="1" applyFill="1" applyBorder="1" applyAlignment="1">
      <alignment horizontal="center" vertical="center" wrapText="1"/>
    </xf>
    <xf numFmtId="0" fontId="4" fillId="14" borderId="64" xfId="0" applyFont="1" applyFill="1" applyBorder="1" applyAlignment="1">
      <alignment horizontal="center" vertical="center"/>
    </xf>
    <xf numFmtId="2" fontId="4" fillId="14" borderId="64" xfId="0" applyNumberFormat="1" applyFont="1" applyFill="1" applyBorder="1" applyAlignment="1">
      <alignment horizontal="center" vertical="center"/>
    </xf>
    <xf numFmtId="44" fontId="4" fillId="14" borderId="64" xfId="2" applyFont="1" applyFill="1" applyBorder="1" applyAlignment="1">
      <alignment horizontal="center" vertical="center"/>
    </xf>
    <xf numFmtId="10" fontId="4" fillId="14" borderId="64" xfId="3" applyNumberFormat="1" applyFont="1" applyFill="1" applyBorder="1" applyAlignment="1">
      <alignment horizontal="center" vertical="center"/>
    </xf>
    <xf numFmtId="10" fontId="4" fillId="14" borderId="64" xfId="0" applyNumberFormat="1" applyFont="1" applyFill="1" applyBorder="1" applyAlignment="1">
      <alignment horizontal="center" vertical="center"/>
    </xf>
    <xf numFmtId="0" fontId="4" fillId="14" borderId="65" xfId="0" applyFont="1" applyFill="1" applyBorder="1" applyAlignment="1">
      <alignment horizontal="center" vertical="center"/>
    </xf>
    <xf numFmtId="0" fontId="4" fillId="14" borderId="49"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1" xfId="0" applyFont="1" applyFill="1" applyBorder="1" applyAlignment="1">
      <alignment horizontal="center" vertical="center" wrapText="1"/>
    </xf>
    <xf numFmtId="2" fontId="4" fillId="14" borderId="1" xfId="0" applyNumberFormat="1" applyFont="1" applyFill="1" applyBorder="1" applyAlignment="1">
      <alignment horizontal="center" vertical="center"/>
    </xf>
    <xf numFmtId="44" fontId="4" fillId="14" borderId="1" xfId="2" applyFont="1" applyFill="1" applyBorder="1" applyAlignment="1">
      <alignment horizontal="center" vertical="center"/>
    </xf>
    <xf numFmtId="10" fontId="4" fillId="14" borderId="1" xfId="3" applyNumberFormat="1" applyFont="1" applyFill="1" applyBorder="1" applyAlignment="1">
      <alignment horizontal="center" vertical="center"/>
    </xf>
    <xf numFmtId="10" fontId="4" fillId="14" borderId="1" xfId="0" applyNumberFormat="1" applyFont="1" applyFill="1" applyBorder="1" applyAlignment="1">
      <alignment horizontal="center" vertical="center"/>
    </xf>
    <xf numFmtId="0" fontId="4" fillId="14" borderId="50" xfId="0" applyFont="1" applyFill="1" applyBorder="1" applyAlignment="1">
      <alignment horizontal="center" vertical="center"/>
    </xf>
    <xf numFmtId="49" fontId="4" fillId="14" borderId="1" xfId="0" applyNumberFormat="1" applyFont="1" applyFill="1" applyBorder="1" applyAlignment="1">
      <alignment horizontal="center" vertical="center" wrapText="1"/>
    </xf>
    <xf numFmtId="49" fontId="4" fillId="14" borderId="1" xfId="0" applyNumberFormat="1" applyFont="1" applyFill="1" applyBorder="1" applyAlignment="1">
      <alignment horizontal="center" vertical="center"/>
    </xf>
    <xf numFmtId="10" fontId="4" fillId="12" borderId="1" xfId="3" applyNumberFormat="1" applyFont="1" applyFill="1" applyBorder="1" applyAlignment="1">
      <alignment horizontal="center" vertical="center"/>
    </xf>
    <xf numFmtId="10" fontId="4" fillId="12" borderId="1" xfId="0" applyNumberFormat="1"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5" borderId="49" xfId="0" applyFont="1" applyFill="1" applyBorder="1" applyAlignment="1">
      <alignment horizontal="center" vertical="center"/>
    </xf>
    <xf numFmtId="0" fontId="4" fillId="15" borderId="1" xfId="0" applyFont="1" applyFill="1" applyBorder="1" applyAlignment="1">
      <alignment horizontal="center" vertical="center"/>
    </xf>
    <xf numFmtId="0" fontId="4" fillId="15" borderId="1" xfId="0" applyFont="1" applyFill="1" applyBorder="1" applyAlignment="1">
      <alignment horizontal="center" vertical="center" wrapText="1"/>
    </xf>
    <xf numFmtId="2" fontId="4" fillId="15" borderId="1" xfId="0" applyNumberFormat="1" applyFont="1" applyFill="1" applyBorder="1" applyAlignment="1">
      <alignment horizontal="center" vertical="center"/>
    </xf>
    <xf numFmtId="44" fontId="4" fillId="15" borderId="1" xfId="2" applyFont="1" applyFill="1" applyBorder="1" applyAlignment="1">
      <alignment horizontal="center" vertical="center"/>
    </xf>
    <xf numFmtId="10" fontId="4" fillId="15" borderId="1" xfId="3" applyNumberFormat="1" applyFont="1" applyFill="1" applyBorder="1" applyAlignment="1">
      <alignment horizontal="center" vertical="center"/>
    </xf>
    <xf numFmtId="10" fontId="4" fillId="15" borderId="1" xfId="0" applyNumberFormat="1" applyFont="1" applyFill="1" applyBorder="1" applyAlignment="1">
      <alignment horizontal="center" vertical="center"/>
    </xf>
    <xf numFmtId="0" fontId="4" fillId="15" borderId="50" xfId="0" applyFont="1" applyFill="1" applyBorder="1" applyAlignment="1">
      <alignment horizontal="center" vertical="center"/>
    </xf>
    <xf numFmtId="49" fontId="4" fillId="15" borderId="1" xfId="0" applyNumberFormat="1" applyFont="1" applyFill="1" applyBorder="1" applyAlignment="1">
      <alignment horizontal="center" vertical="center"/>
    </xf>
    <xf numFmtId="49" fontId="4" fillId="15" borderId="1" xfId="0" applyNumberFormat="1" applyFont="1" applyFill="1" applyBorder="1" applyAlignment="1">
      <alignment horizontal="center" vertical="center" wrapText="1"/>
    </xf>
    <xf numFmtId="0" fontId="4" fillId="15" borderId="73" xfId="0" applyFont="1" applyFill="1" applyBorder="1" applyAlignment="1">
      <alignment horizontal="center" vertical="center"/>
    </xf>
    <xf numFmtId="0" fontId="4" fillId="15" borderId="74" xfId="0" applyFont="1" applyFill="1" applyBorder="1" applyAlignment="1">
      <alignment horizontal="center" vertical="center"/>
    </xf>
    <xf numFmtId="2" fontId="4" fillId="15" borderId="74" xfId="0" applyNumberFormat="1" applyFont="1" applyFill="1" applyBorder="1" applyAlignment="1">
      <alignment horizontal="center" vertical="center"/>
    </xf>
    <xf numFmtId="44" fontId="4" fillId="15" borderId="74" xfId="2" applyFont="1" applyFill="1" applyBorder="1" applyAlignment="1">
      <alignment horizontal="center" vertical="center"/>
    </xf>
    <xf numFmtId="10" fontId="4" fillId="15" borderId="74" xfId="3" applyNumberFormat="1" applyFont="1" applyFill="1" applyBorder="1" applyAlignment="1">
      <alignment horizontal="center" vertical="center"/>
    </xf>
    <xf numFmtId="10" fontId="4" fillId="15" borderId="74" xfId="0" applyNumberFormat="1" applyFont="1" applyFill="1" applyBorder="1" applyAlignment="1">
      <alignment horizontal="center" vertical="center"/>
    </xf>
    <xf numFmtId="0" fontId="4" fillId="15" borderId="75" xfId="0" applyFont="1" applyFill="1" applyBorder="1" applyAlignment="1">
      <alignment horizontal="center" vertical="center"/>
    </xf>
    <xf numFmtId="0" fontId="4" fillId="0" borderId="18" xfId="0" applyFont="1" applyBorder="1" applyAlignment="1">
      <alignment horizontal="center"/>
    </xf>
    <xf numFmtId="0" fontId="4" fillId="0" borderId="12" xfId="0" applyFont="1" applyBorder="1" applyAlignment="1">
      <alignment horizontal="center"/>
    </xf>
    <xf numFmtId="0" fontId="5" fillId="5" borderId="21"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22" xfId="0" applyFont="1" applyFill="1" applyBorder="1" applyAlignment="1">
      <alignment horizontal="center" vertical="center"/>
    </xf>
    <xf numFmtId="174" fontId="13" fillId="5" borderId="9" xfId="0" applyNumberFormat="1" applyFont="1" applyFill="1" applyBorder="1" applyAlignment="1">
      <alignment horizontal="center"/>
    </xf>
    <xf numFmtId="174" fontId="13" fillId="5" borderId="0" xfId="0" applyNumberFormat="1" applyFont="1" applyFill="1" applyAlignment="1">
      <alignment horizontal="center"/>
    </xf>
    <xf numFmtId="174" fontId="13" fillId="5" borderId="12" xfId="0" applyNumberFormat="1" applyFont="1" applyFill="1" applyBorder="1" applyAlignment="1">
      <alignment horizontal="center"/>
    </xf>
    <xf numFmtId="174" fontId="14" fillId="5" borderId="12" xfId="0" applyNumberFormat="1" applyFont="1" applyFill="1" applyBorder="1"/>
    <xf numFmtId="174" fontId="3" fillId="4" borderId="62" xfId="1" applyNumberFormat="1" applyFont="1" applyFill="1" applyBorder="1" applyAlignment="1">
      <alignment horizontal="center" vertical="center" wrapText="1"/>
    </xf>
    <xf numFmtId="174" fontId="4" fillId="0" borderId="9" xfId="0" applyNumberFormat="1" applyFont="1" applyBorder="1"/>
    <xf numFmtId="174" fontId="4" fillId="3" borderId="0" xfId="0" applyNumberFormat="1" applyFont="1" applyFill="1" applyAlignment="1">
      <alignment horizontal="center" vertical="center"/>
    </xf>
    <xf numFmtId="174" fontId="4" fillId="0" borderId="0" xfId="0" applyNumberFormat="1" applyFont="1" applyAlignment="1">
      <alignment horizontal="center" vertical="center"/>
    </xf>
    <xf numFmtId="174" fontId="4" fillId="0" borderId="0" xfId="0" applyNumberFormat="1" applyFont="1" applyAlignment="1">
      <alignment horizontal="center"/>
    </xf>
    <xf numFmtId="0" fontId="11" fillId="5" borderId="18" xfId="0" applyFont="1" applyFill="1" applyBorder="1" applyAlignment="1">
      <alignment horizontal="left" vertical="center"/>
    </xf>
    <xf numFmtId="0" fontId="6" fillId="6" borderId="0" xfId="0" applyFont="1" applyFill="1" applyAlignment="1">
      <alignment vertical="center"/>
    </xf>
    <xf numFmtId="10" fontId="4" fillId="0" borderId="1" xfId="3" applyNumberFormat="1" applyFont="1" applyBorder="1" applyAlignment="1">
      <alignment horizontal="center" vertical="center"/>
    </xf>
    <xf numFmtId="0" fontId="4" fillId="0" borderId="70"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2" fontId="4" fillId="0" borderId="5" xfId="0" applyNumberFormat="1" applyFont="1" applyBorder="1" applyAlignment="1">
      <alignment horizontal="center" vertical="center"/>
    </xf>
    <xf numFmtId="44" fontId="4" fillId="0" borderId="5" xfId="2" applyFont="1" applyFill="1" applyBorder="1" applyAlignment="1">
      <alignment horizontal="center" vertical="center"/>
    </xf>
    <xf numFmtId="0" fontId="4" fillId="0" borderId="0" xfId="2" applyNumberFormat="1" applyFont="1" applyFill="1" applyAlignment="1">
      <alignment vertical="center"/>
    </xf>
    <xf numFmtId="0" fontId="2" fillId="0" borderId="0" xfId="0" applyFont="1"/>
    <xf numFmtId="0" fontId="4" fillId="0" borderId="1" xfId="0" quotePrefix="1" applyFont="1" applyBorder="1" applyAlignment="1">
      <alignment horizontal="center" vertical="center" wrapText="1"/>
    </xf>
    <xf numFmtId="0" fontId="4" fillId="0" borderId="57" xfId="0" applyFont="1" applyBorder="1" applyAlignment="1">
      <alignment horizontal="center" vertical="center"/>
    </xf>
    <xf numFmtId="0" fontId="4" fillId="0" borderId="57" xfId="0" applyFont="1" applyBorder="1" applyAlignment="1">
      <alignment horizontal="center" vertical="center" wrapText="1"/>
    </xf>
    <xf numFmtId="2" fontId="4" fillId="0" borderId="57" xfId="0" applyNumberFormat="1" applyFont="1" applyBorder="1" applyAlignment="1">
      <alignment horizontal="center" vertical="center"/>
    </xf>
    <xf numFmtId="44" fontId="4" fillId="0" borderId="57" xfId="2" applyFont="1" applyFill="1" applyBorder="1" applyAlignment="1">
      <alignment horizontal="center" vertical="center"/>
    </xf>
    <xf numFmtId="44" fontId="4" fillId="0" borderId="57" xfId="2" applyFont="1" applyFill="1" applyBorder="1" applyAlignment="1">
      <alignment vertical="center"/>
    </xf>
    <xf numFmtId="44" fontId="4" fillId="0" borderId="71" xfId="2" applyFont="1" applyFill="1" applyBorder="1" applyAlignment="1">
      <alignment horizontal="center" vertical="center"/>
    </xf>
    <xf numFmtId="44" fontId="4" fillId="0" borderId="0" xfId="2" applyFont="1" applyFill="1" applyAlignment="1">
      <alignment horizontal="left"/>
    </xf>
    <xf numFmtId="2" fontId="4" fillId="0" borderId="0" xfId="0" applyNumberFormat="1" applyFont="1" applyAlignment="1">
      <alignment horizontal="center" vertical="center"/>
    </xf>
    <xf numFmtId="44" fontId="4" fillId="0" borderId="0" xfId="0" applyNumberFormat="1" applyFont="1" applyAlignment="1">
      <alignment horizontal="left"/>
    </xf>
    <xf numFmtId="0" fontId="4" fillId="0" borderId="18" xfId="0" applyFont="1" applyBorder="1" applyAlignment="1">
      <alignment horizontal="center" vertical="center"/>
    </xf>
    <xf numFmtId="0" fontId="4" fillId="0" borderId="12" xfId="0" applyFont="1" applyBorder="1" applyAlignment="1">
      <alignment horizontal="center" vertical="center"/>
    </xf>
    <xf numFmtId="174" fontId="4" fillId="0" borderId="12" xfId="0" applyNumberFormat="1" applyFont="1" applyBorder="1" applyAlignment="1">
      <alignment horizontal="center" vertical="center"/>
    </xf>
    <xf numFmtId="44" fontId="4" fillId="0" borderId="12" xfId="2" applyFont="1" applyBorder="1" applyAlignment="1">
      <alignment horizontal="center" vertical="center"/>
    </xf>
    <xf numFmtId="44" fontId="4" fillId="0" borderId="13" xfId="2" applyFont="1" applyBorder="1" applyAlignment="1">
      <alignment horizontal="center" vertical="center"/>
    </xf>
    <xf numFmtId="4" fontId="11" fillId="5" borderId="16" xfId="0" applyNumberFormat="1" applyFont="1" applyFill="1" applyBorder="1" applyAlignment="1">
      <alignment vertical="center"/>
    </xf>
    <xf numFmtId="4" fontId="9" fillId="5" borderId="9" xfId="0" applyNumberFormat="1" applyFont="1" applyFill="1" applyBorder="1" applyAlignment="1">
      <alignment vertical="center"/>
    </xf>
    <xf numFmtId="4" fontId="22" fillId="5" borderId="9" xfId="0" applyNumberFormat="1" applyFont="1" applyFill="1" applyBorder="1" applyAlignment="1">
      <alignment vertical="center"/>
    </xf>
    <xf numFmtId="4" fontId="22" fillId="5" borderId="16" xfId="0" applyNumberFormat="1" applyFont="1" applyFill="1" applyBorder="1" applyAlignment="1">
      <alignment vertical="center"/>
    </xf>
    <xf numFmtId="4" fontId="8" fillId="5" borderId="10" xfId="0" applyNumberFormat="1" applyFont="1" applyFill="1" applyBorder="1" applyAlignment="1">
      <alignment horizontal="center" vertical="center"/>
    </xf>
    <xf numFmtId="4" fontId="11" fillId="5" borderId="17" xfId="0" applyNumberFormat="1" applyFont="1" applyFill="1" applyBorder="1" applyAlignment="1">
      <alignment vertical="center"/>
    </xf>
    <xf numFmtId="4" fontId="9" fillId="5" borderId="0" xfId="0" applyNumberFormat="1" applyFont="1" applyFill="1" applyAlignment="1">
      <alignment vertical="center"/>
    </xf>
    <xf numFmtId="0" fontId="8" fillId="5" borderId="0" xfId="0" applyFont="1" applyFill="1" applyAlignment="1">
      <alignment vertical="center"/>
    </xf>
    <xf numFmtId="0" fontId="8" fillId="5" borderId="17" xfId="0" applyFont="1" applyFill="1" applyBorder="1" applyAlignment="1">
      <alignment vertical="center"/>
    </xf>
    <xf numFmtId="14" fontId="8" fillId="0" borderId="11" xfId="0" applyNumberFormat="1" applyFont="1" applyBorder="1" applyAlignment="1">
      <alignment horizontal="center" vertical="center"/>
    </xf>
    <xf numFmtId="4" fontId="11" fillId="5" borderId="18" xfId="0" applyNumberFormat="1" applyFont="1" applyFill="1" applyBorder="1" applyAlignment="1">
      <alignment vertical="center"/>
    </xf>
    <xf numFmtId="0" fontId="9" fillId="5" borderId="12" xfId="0" applyFont="1" applyFill="1" applyBorder="1" applyAlignment="1" applyProtection="1">
      <alignment horizontal="left" vertical="center"/>
      <protection locked="0"/>
    </xf>
    <xf numFmtId="0" fontId="8" fillId="5" borderId="12" xfId="0" applyFont="1" applyFill="1" applyBorder="1" applyAlignment="1">
      <alignment vertical="center"/>
    </xf>
    <xf numFmtId="0" fontId="5" fillId="5" borderId="18" xfId="0" applyFont="1" applyFill="1" applyBorder="1" applyAlignment="1">
      <alignment vertical="center"/>
    </xf>
    <xf numFmtId="0" fontId="8" fillId="5" borderId="13" xfId="0" applyFont="1" applyFill="1" applyBorder="1" applyAlignment="1" applyProtection="1">
      <alignment horizontal="center" vertical="center"/>
      <protection locked="0"/>
    </xf>
    <xf numFmtId="0" fontId="5" fillId="5" borderId="21" xfId="0" applyFont="1" applyFill="1" applyBorder="1" applyAlignment="1">
      <alignment vertical="center"/>
    </xf>
    <xf numFmtId="0" fontId="8" fillId="5" borderId="19" xfId="0" applyFont="1" applyFill="1" applyBorder="1" applyAlignment="1">
      <alignment vertical="center"/>
    </xf>
    <xf numFmtId="0" fontId="8" fillId="5" borderId="22" xfId="0" applyFont="1" applyFill="1" applyBorder="1" applyAlignment="1">
      <alignment horizontal="center" vertical="center"/>
    </xf>
    <xf numFmtId="0" fontId="5" fillId="5" borderId="19" xfId="0" applyFont="1" applyFill="1" applyBorder="1" applyAlignment="1">
      <alignment horizontal="left" vertical="center"/>
    </xf>
    <xf numFmtId="170" fontId="20" fillId="3" borderId="21" xfId="0" applyNumberFormat="1" applyFont="1" applyFill="1" applyBorder="1" applyProtection="1">
      <protection locked="0"/>
    </xf>
    <xf numFmtId="170" fontId="20" fillId="3" borderId="19" xfId="0" applyNumberFormat="1" applyFont="1" applyFill="1" applyBorder="1" applyProtection="1">
      <protection locked="0"/>
    </xf>
    <xf numFmtId="170" fontId="20" fillId="3" borderId="22" xfId="0" applyNumberFormat="1" applyFont="1" applyFill="1" applyBorder="1" applyProtection="1">
      <protection locked="0"/>
    </xf>
    <xf numFmtId="170" fontId="20" fillId="5" borderId="18" xfId="0" applyNumberFormat="1" applyFont="1" applyFill="1" applyBorder="1" applyAlignment="1">
      <alignment horizontal="center"/>
    </xf>
    <xf numFmtId="170" fontId="20" fillId="5" borderId="12" xfId="0" applyNumberFormat="1" applyFont="1" applyFill="1" applyBorder="1" applyAlignment="1">
      <alignment horizontal="center"/>
    </xf>
    <xf numFmtId="170" fontId="20" fillId="5" borderId="13" xfId="0" applyNumberFormat="1" applyFont="1" applyFill="1" applyBorder="1" applyAlignment="1">
      <alignment horizontal="center"/>
    </xf>
    <xf numFmtId="0" fontId="16" fillId="5" borderId="9" xfId="5" applyFont="1" applyFill="1" applyBorder="1" applyAlignment="1" applyProtection="1">
      <alignment horizontal="left" vertical="center"/>
      <protection locked="0"/>
    </xf>
    <xf numFmtId="169" fontId="16" fillId="5" borderId="9" xfId="5" applyNumberFormat="1" applyFont="1" applyFill="1" applyBorder="1" applyAlignment="1" applyProtection="1">
      <alignment horizontal="center" vertical="center"/>
      <protection locked="0"/>
    </xf>
    <xf numFmtId="0" fontId="20" fillId="5" borderId="9" xfId="5" applyFont="1" applyFill="1" applyBorder="1" applyAlignment="1" applyProtection="1">
      <alignment horizontal="right" vertical="center"/>
      <protection locked="0"/>
    </xf>
    <xf numFmtId="165" fontId="16" fillId="5" borderId="10" xfId="5" applyNumberFormat="1" applyFont="1" applyFill="1" applyBorder="1" applyAlignment="1" applyProtection="1">
      <alignment horizontal="center" vertical="center"/>
      <protection locked="0"/>
    </xf>
    <xf numFmtId="169" fontId="16" fillId="5" borderId="0" xfId="5" applyNumberFormat="1" applyFont="1" applyFill="1" applyAlignment="1" applyProtection="1">
      <alignment horizontal="center" vertical="center"/>
      <protection locked="0"/>
    </xf>
    <xf numFmtId="0" fontId="20" fillId="5" borderId="0" xfId="5" applyFont="1" applyFill="1" applyAlignment="1" applyProtection="1">
      <alignment horizontal="right" vertical="center"/>
      <protection locked="0"/>
    </xf>
    <xf numFmtId="165" fontId="16" fillId="5" borderId="11" xfId="5" applyNumberFormat="1" applyFont="1" applyFill="1" applyBorder="1" applyAlignment="1" applyProtection="1">
      <alignment horizontal="center" vertical="center"/>
      <protection locked="0"/>
    </xf>
    <xf numFmtId="0" fontId="16" fillId="5" borderId="12" xfId="5" applyFont="1" applyFill="1" applyBorder="1" applyAlignment="1" applyProtection="1">
      <alignment horizontal="left" vertical="center"/>
      <protection locked="0"/>
    </xf>
    <xf numFmtId="169" fontId="16" fillId="5" borderId="12" xfId="5" applyNumberFormat="1" applyFont="1" applyFill="1" applyBorder="1" applyAlignment="1" applyProtection="1">
      <alignment horizontal="center" vertical="center"/>
      <protection locked="0"/>
    </xf>
    <xf numFmtId="0" fontId="20" fillId="5" borderId="12" xfId="5" applyFont="1" applyFill="1" applyBorder="1" applyAlignment="1" applyProtection="1">
      <alignment horizontal="right" vertical="center"/>
      <protection locked="0"/>
    </xf>
    <xf numFmtId="165" fontId="16" fillId="5" borderId="13" xfId="5" applyNumberFormat="1" applyFont="1" applyFill="1" applyBorder="1" applyAlignment="1" applyProtection="1">
      <alignment horizontal="center" vertical="center"/>
      <protection locked="0"/>
    </xf>
    <xf numFmtId="170" fontId="20" fillId="5" borderId="21" xfId="0" applyNumberFormat="1" applyFont="1" applyFill="1" applyBorder="1" applyAlignment="1">
      <alignment horizontal="center"/>
    </xf>
    <xf numFmtId="170" fontId="20" fillId="5" borderId="19" xfId="0" applyNumberFormat="1" applyFont="1" applyFill="1" applyBorder="1" applyAlignment="1">
      <alignment horizontal="center"/>
    </xf>
    <xf numFmtId="170" fontId="20" fillId="5" borderId="22" xfId="0" applyNumberFormat="1" applyFont="1" applyFill="1" applyBorder="1" applyAlignment="1">
      <alignment horizontal="center"/>
    </xf>
    <xf numFmtId="168" fontId="20" fillId="0" borderId="17" xfId="0" applyNumberFormat="1" applyFont="1" applyBorder="1" applyAlignment="1" applyProtection="1">
      <alignment horizontal="center" vertical="center"/>
      <protection locked="0"/>
    </xf>
    <xf numFmtId="0" fontId="16" fillId="0" borderId="9" xfId="0" applyFont="1" applyBorder="1" applyAlignment="1" applyProtection="1">
      <alignment horizontal="left" vertical="center"/>
      <protection locked="0"/>
    </xf>
    <xf numFmtId="169" fontId="16" fillId="0" borderId="9" xfId="5" applyNumberFormat="1" applyFont="1" applyBorder="1" applyAlignment="1" applyProtection="1">
      <alignment horizontal="center" vertical="center"/>
      <protection locked="0"/>
    </xf>
    <xf numFmtId="0" fontId="20" fillId="0" borderId="9" xfId="0" applyFont="1" applyBorder="1" applyAlignment="1" applyProtection="1">
      <alignment horizontal="right" vertical="center"/>
      <protection locked="0"/>
    </xf>
    <xf numFmtId="165" fontId="16" fillId="0" borderId="10" xfId="0" applyNumberFormat="1"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169" fontId="16" fillId="0" borderId="0" xfId="0" applyNumberFormat="1" applyFont="1" applyAlignment="1" applyProtection="1">
      <alignment horizontal="center" vertical="center"/>
      <protection locked="0"/>
    </xf>
    <xf numFmtId="0" fontId="20" fillId="0" borderId="0" xfId="0" applyFont="1" applyAlignment="1" applyProtection="1">
      <alignment horizontal="right" vertical="center"/>
      <protection locked="0"/>
    </xf>
    <xf numFmtId="165" fontId="16" fillId="0" borderId="11" xfId="0" applyNumberFormat="1" applyFont="1" applyBorder="1" applyAlignment="1" applyProtection="1">
      <alignment horizontal="center" vertical="center"/>
      <protection locked="0"/>
    </xf>
    <xf numFmtId="8" fontId="4" fillId="0" borderId="0" xfId="0" applyNumberFormat="1" applyFont="1" applyProtection="1">
      <protection locked="0"/>
    </xf>
    <xf numFmtId="0" fontId="16" fillId="5" borderId="0" xfId="5" applyFont="1" applyFill="1" applyAlignment="1" applyProtection="1">
      <alignment horizontal="left" vertical="center"/>
      <protection locked="0"/>
    </xf>
    <xf numFmtId="49" fontId="23" fillId="9" borderId="53" xfId="0" applyNumberFormat="1" applyFont="1" applyFill="1" applyBorder="1" applyAlignment="1">
      <alignment horizontal="center" vertical="center"/>
    </xf>
    <xf numFmtId="0" fontId="24" fillId="9" borderId="46" xfId="0" applyFont="1" applyFill="1" applyBorder="1" applyAlignment="1">
      <alignment vertical="center" wrapText="1"/>
    </xf>
    <xf numFmtId="0" fontId="25" fillId="9" borderId="46" xfId="0" applyFont="1" applyFill="1" applyBorder="1" applyAlignment="1">
      <alignment horizontal="center" vertical="center"/>
    </xf>
    <xf numFmtId="14" fontId="25" fillId="9" borderId="46" xfId="0" applyNumberFormat="1" applyFont="1" applyFill="1" applyBorder="1" applyAlignment="1">
      <alignment horizontal="center" vertical="center"/>
    </xf>
    <xf numFmtId="169" fontId="17" fillId="10" borderId="47" xfId="0" applyNumberFormat="1" applyFont="1" applyFill="1" applyBorder="1" applyAlignment="1">
      <alignment horizontal="center" vertical="center"/>
    </xf>
    <xf numFmtId="165" fontId="17" fillId="10" borderId="54" xfId="0" applyNumberFormat="1" applyFont="1" applyFill="1" applyBorder="1" applyAlignment="1">
      <alignment horizontal="center" vertical="center"/>
    </xf>
    <xf numFmtId="169" fontId="17" fillId="10" borderId="0" xfId="0" applyNumberFormat="1" applyFont="1" applyFill="1" applyAlignment="1">
      <alignment horizontal="center" vertical="center"/>
    </xf>
    <xf numFmtId="165" fontId="17" fillId="10" borderId="11" xfId="0" applyNumberFormat="1" applyFont="1" applyFill="1" applyBorder="1" applyAlignment="1">
      <alignment horizontal="center" vertical="center"/>
    </xf>
    <xf numFmtId="170" fontId="25" fillId="9" borderId="53" xfId="0" applyNumberFormat="1" applyFont="1" applyFill="1" applyBorder="1"/>
    <xf numFmtId="170" fontId="25" fillId="9" borderId="46" xfId="0" applyNumberFormat="1" applyFont="1" applyFill="1" applyBorder="1"/>
    <xf numFmtId="170" fontId="25" fillId="9" borderId="52" xfId="0" applyNumberFormat="1" applyFont="1" applyFill="1" applyBorder="1"/>
    <xf numFmtId="170" fontId="25" fillId="10" borderId="55" xfId="0" applyNumberFormat="1" applyFont="1" applyFill="1" applyBorder="1" applyAlignment="1">
      <alignment horizontal="center"/>
    </xf>
    <xf numFmtId="170" fontId="25" fillId="10" borderId="48" xfId="0" applyNumberFormat="1" applyFont="1" applyFill="1" applyBorder="1" applyAlignment="1">
      <alignment horizontal="center"/>
    </xf>
    <xf numFmtId="170" fontId="25" fillId="10" borderId="56" xfId="0" applyNumberFormat="1" applyFont="1" applyFill="1" applyBorder="1" applyAlignment="1">
      <alignment horizontal="center"/>
    </xf>
    <xf numFmtId="0" fontId="19" fillId="3" borderId="19" xfId="0" quotePrefix="1" applyFont="1" applyFill="1" applyBorder="1" applyAlignment="1" applyProtection="1">
      <alignment vertical="center" wrapText="1"/>
      <protection locked="0"/>
    </xf>
    <xf numFmtId="0" fontId="4" fillId="14" borderId="1" xfId="0" quotePrefix="1" applyFont="1" applyFill="1" applyBorder="1" applyAlignment="1">
      <alignment horizontal="center" vertical="center" wrapText="1"/>
    </xf>
    <xf numFmtId="0" fontId="4" fillId="12" borderId="1" xfId="0" quotePrefix="1" applyFont="1" applyFill="1" applyBorder="1" applyAlignment="1">
      <alignment horizontal="center" vertical="center" wrapText="1"/>
    </xf>
    <xf numFmtId="0" fontId="4" fillId="15" borderId="1" xfId="0" quotePrefix="1" applyFont="1" applyFill="1" applyBorder="1" applyAlignment="1">
      <alignment horizontal="center" vertical="center" wrapText="1"/>
    </xf>
    <xf numFmtId="0" fontId="4" fillId="14" borderId="64" xfId="0" applyFont="1" applyFill="1" applyBorder="1" applyAlignment="1">
      <alignment horizontal="center" vertical="center" wrapText="1"/>
    </xf>
    <xf numFmtId="0" fontId="4" fillId="15" borderId="74" xfId="0" applyFont="1" applyFill="1" applyBorder="1" applyAlignment="1">
      <alignment horizontal="center" vertical="center" wrapText="1"/>
    </xf>
    <xf numFmtId="0" fontId="3" fillId="4" borderId="7" xfId="0" applyFont="1" applyFill="1" applyBorder="1" applyAlignment="1">
      <alignment horizontal="center" vertical="center" wrapText="1"/>
    </xf>
    <xf numFmtId="44" fontId="6" fillId="6" borderId="0" xfId="0" applyNumberFormat="1" applyFont="1" applyFill="1" applyAlignment="1">
      <alignment vertical="center"/>
    </xf>
    <xf numFmtId="9" fontId="4" fillId="0" borderId="0" xfId="3" applyFont="1" applyFill="1"/>
    <xf numFmtId="164" fontId="3" fillId="5" borderId="10" xfId="0" applyNumberFormat="1" applyFont="1" applyFill="1" applyBorder="1" applyAlignment="1">
      <alignment horizontal="center" vertical="center" wrapText="1"/>
    </xf>
    <xf numFmtId="0" fontId="6" fillId="6" borderId="0" xfId="0" applyFont="1" applyFill="1"/>
    <xf numFmtId="0" fontId="11" fillId="5" borderId="16" xfId="0" applyFont="1" applyFill="1" applyBorder="1" applyAlignment="1">
      <alignment horizontal="left" vertical="center"/>
    </xf>
    <xf numFmtId="0" fontId="9" fillId="5" borderId="9" xfId="0" applyFont="1" applyFill="1" applyBorder="1" applyAlignment="1" applyProtection="1">
      <alignment horizontal="left" vertical="center" wrapText="1"/>
      <protection locked="0"/>
    </xf>
    <xf numFmtId="0" fontId="11" fillId="0" borderId="24" xfId="0" applyFont="1" applyBorder="1" applyAlignment="1">
      <alignment horizontal="center" vertical="center" wrapText="1"/>
    </xf>
    <xf numFmtId="167" fontId="11" fillId="5" borderId="16" xfId="3" applyNumberFormat="1" applyFont="1" applyFill="1" applyBorder="1" applyAlignment="1" applyProtection="1">
      <alignment horizontal="centerContinuous" vertical="center"/>
    </xf>
    <xf numFmtId="164" fontId="3" fillId="5" borderId="10" xfId="0" applyNumberFormat="1" applyFont="1" applyFill="1" applyBorder="1" applyAlignment="1">
      <alignment horizontal="centerContinuous" vertical="center" wrapText="1"/>
    </xf>
    <xf numFmtId="0" fontId="11" fillId="5" borderId="17" xfId="0" applyFont="1" applyFill="1" applyBorder="1" applyAlignment="1">
      <alignment horizontal="left" vertical="center"/>
    </xf>
    <xf numFmtId="0" fontId="9" fillId="0" borderId="0" xfId="0" applyFont="1" applyAlignment="1" applyProtection="1">
      <alignment horizontal="left" vertical="center" wrapText="1"/>
      <protection locked="0"/>
    </xf>
    <xf numFmtId="0" fontId="9" fillId="5" borderId="41"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Continuous" vertical="center"/>
      <protection locked="0"/>
    </xf>
    <xf numFmtId="164" fontId="3" fillId="5" borderId="11" xfId="0" applyNumberFormat="1" applyFont="1" applyFill="1" applyBorder="1" applyAlignment="1">
      <alignment horizontal="centerContinuous" vertical="center" wrapText="1"/>
    </xf>
    <xf numFmtId="0" fontId="9" fillId="5" borderId="0" xfId="0" applyFont="1" applyFill="1" applyAlignment="1" applyProtection="1">
      <alignment horizontal="left" vertical="center"/>
      <protection locked="0"/>
    </xf>
    <xf numFmtId="0" fontId="11" fillId="5" borderId="41" xfId="0" applyFont="1" applyFill="1" applyBorder="1" applyAlignment="1">
      <alignment horizontal="center" vertical="center"/>
    </xf>
    <xf numFmtId="0" fontId="9" fillId="5" borderId="12" xfId="0" applyFont="1" applyFill="1" applyBorder="1" applyAlignment="1" applyProtection="1">
      <alignment horizontal="left" vertical="center" wrapText="1"/>
      <protection locked="0"/>
    </xf>
    <xf numFmtId="173" fontId="9" fillId="0" borderId="25" xfId="0" applyNumberFormat="1" applyFont="1" applyBorder="1" applyAlignment="1" applyProtection="1">
      <alignment horizontal="center" vertical="center"/>
      <protection locked="0"/>
    </xf>
    <xf numFmtId="49" fontId="3" fillId="5" borderId="17" xfId="0" applyNumberFormat="1" applyFont="1" applyFill="1" applyBorder="1" applyAlignment="1">
      <alignment horizontal="center" vertical="center" wrapText="1"/>
    </xf>
    <xf numFmtId="4" fontId="26" fillId="5" borderId="0" xfId="0" applyNumberFormat="1" applyFont="1" applyFill="1" applyAlignment="1">
      <alignment horizontal="center" vertical="center" wrapText="1"/>
    </xf>
    <xf numFmtId="4" fontId="26" fillId="5" borderId="0" xfId="0" applyNumberFormat="1" applyFont="1" applyFill="1" applyAlignment="1">
      <alignment horizontal="left" vertical="center" wrapText="1"/>
    </xf>
    <xf numFmtId="4" fontId="3" fillId="5" borderId="0" xfId="0" applyNumberFormat="1" applyFont="1" applyFill="1" applyAlignment="1">
      <alignment horizontal="left" vertical="center" wrapText="1"/>
    </xf>
    <xf numFmtId="164" fontId="3" fillId="5" borderId="11"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0" xfId="0" applyFont="1" applyFill="1" applyAlignment="1">
      <alignment horizontal="left" vertical="center" wrapText="1"/>
    </xf>
    <xf numFmtId="164" fontId="3" fillId="5" borderId="0" xfId="0" applyNumberFormat="1" applyFont="1" applyFill="1" applyAlignment="1">
      <alignment horizontal="center" vertical="center" wrapText="1"/>
    </xf>
    <xf numFmtId="10" fontId="3" fillId="5" borderId="11" xfId="0" applyNumberFormat="1" applyFont="1" applyFill="1" applyBorder="1" applyAlignment="1">
      <alignment horizontal="center" vertical="center" wrapText="1"/>
    </xf>
    <xf numFmtId="0" fontId="6" fillId="5" borderId="0" xfId="0" applyFont="1" applyFill="1" applyAlignment="1">
      <alignment vertical="center" wrapText="1"/>
    </xf>
    <xf numFmtId="10" fontId="6" fillId="6" borderId="0" xfId="3" applyNumberFormat="1" applyFont="1" applyFill="1" applyAlignment="1" applyProtection="1">
      <alignment vertical="center"/>
    </xf>
    <xf numFmtId="0" fontId="6" fillId="5" borderId="0" xfId="0" applyFont="1" applyFill="1" applyAlignment="1">
      <alignment horizontal="left" vertical="center" wrapText="1"/>
    </xf>
    <xf numFmtId="4" fontId="3" fillId="3" borderId="21" xfId="0" applyNumberFormat="1" applyFont="1" applyFill="1" applyBorder="1" applyAlignment="1">
      <alignment horizontal="center" vertical="center" wrapText="1"/>
    </xf>
    <xf numFmtId="0" fontId="6" fillId="3" borderId="19" xfId="0" applyFont="1" applyFill="1" applyBorder="1" applyAlignment="1">
      <alignment vertical="center"/>
    </xf>
    <xf numFmtId="4" fontId="3" fillId="3" borderId="19" xfId="0" applyNumberFormat="1" applyFont="1" applyFill="1" applyBorder="1" applyAlignment="1">
      <alignment horizontal="left" vertical="center"/>
    </xf>
    <xf numFmtId="165" fontId="3" fillId="3" borderId="19" xfId="0" applyNumberFormat="1" applyFont="1" applyFill="1" applyBorder="1" applyAlignment="1">
      <alignment horizontal="center" vertical="center" wrapText="1"/>
    </xf>
    <xf numFmtId="10" fontId="3" fillId="3" borderId="22" xfId="3" applyNumberFormat="1" applyFont="1" applyFill="1" applyBorder="1" applyAlignment="1">
      <alignment horizontal="center" vertical="center" wrapText="1"/>
    </xf>
    <xf numFmtId="8" fontId="6" fillId="6" borderId="0" xfId="0" applyNumberFormat="1" applyFont="1" applyFill="1" applyAlignment="1">
      <alignment vertical="center"/>
    </xf>
    <xf numFmtId="0" fontId="6" fillId="6" borderId="0" xfId="0" applyFont="1" applyFill="1" applyAlignment="1">
      <alignment horizontal="left" vertical="center"/>
    </xf>
    <xf numFmtId="0" fontId="6" fillId="6" borderId="0" xfId="0" applyFont="1" applyFill="1" applyAlignment="1">
      <alignment vertical="center" wrapText="1"/>
    </xf>
    <xf numFmtId="0" fontId="6" fillId="6" borderId="0" xfId="0" applyFont="1" applyFill="1" applyAlignment="1">
      <alignment horizontal="left" vertical="center" wrapText="1"/>
    </xf>
    <xf numFmtId="0" fontId="18" fillId="6" borderId="19" xfId="0" applyFont="1" applyFill="1" applyBorder="1" applyAlignment="1">
      <alignment horizontal="center"/>
    </xf>
    <xf numFmtId="2" fontId="18" fillId="6" borderId="22" xfId="0" applyNumberFormat="1" applyFont="1" applyFill="1" applyBorder="1" applyAlignment="1">
      <alignment horizontal="center"/>
    </xf>
    <xf numFmtId="0" fontId="20" fillId="6" borderId="21" xfId="0" applyFont="1" applyFill="1" applyBorder="1" applyAlignment="1">
      <alignment horizontal="center"/>
    </xf>
    <xf numFmtId="0" fontId="20" fillId="6" borderId="19" xfId="0" applyFont="1" applyFill="1" applyBorder="1" applyAlignment="1">
      <alignment horizontal="center"/>
    </xf>
    <xf numFmtId="2" fontId="20" fillId="6" borderId="22" xfId="0" applyNumberFormat="1" applyFont="1" applyFill="1" applyBorder="1" applyAlignment="1">
      <alignment horizontal="center"/>
    </xf>
    <xf numFmtId="2" fontId="4" fillId="0" borderId="11" xfId="0" applyNumberFormat="1" applyFont="1" applyBorder="1" applyAlignment="1">
      <alignment horizontal="center" vertical="center"/>
    </xf>
    <xf numFmtId="2" fontId="20" fillId="0" borderId="11" xfId="0" applyNumberFormat="1" applyFont="1" applyBorder="1" applyAlignment="1">
      <alignment horizontal="center" vertical="center"/>
    </xf>
    <xf numFmtId="2" fontId="4" fillId="0" borderId="11" xfId="0" quotePrefix="1" applyNumberFormat="1" applyFont="1" applyBorder="1" applyAlignment="1">
      <alignment horizontal="center"/>
    </xf>
    <xf numFmtId="0" fontId="4" fillId="0" borderId="17" xfId="0" applyFont="1" applyBorder="1" applyAlignment="1">
      <alignment wrapText="1"/>
    </xf>
    <xf numFmtId="0" fontId="4" fillId="0" borderId="0" xfId="0" applyFont="1" applyAlignment="1">
      <alignment wrapText="1"/>
    </xf>
    <xf numFmtId="2" fontId="4" fillId="0" borderId="13" xfId="0" applyNumberFormat="1" applyFont="1" applyBorder="1" applyAlignment="1">
      <alignment horizontal="center"/>
    </xf>
    <xf numFmtId="2" fontId="4" fillId="0" borderId="0" xfId="0" applyNumberFormat="1" applyFont="1" applyAlignment="1">
      <alignment horizontal="center"/>
    </xf>
    <xf numFmtId="10" fontId="4" fillId="6" borderId="0" xfId="0" applyNumberFormat="1" applyFont="1" applyFill="1"/>
    <xf numFmtId="10" fontId="4" fillId="6" borderId="0" xfId="3" applyNumberFormat="1" applyFont="1" applyFill="1" applyProtection="1"/>
    <xf numFmtId="0" fontId="4" fillId="6" borderId="0" xfId="0" applyFont="1" applyFill="1" applyAlignment="1">
      <alignment wrapText="1"/>
    </xf>
    <xf numFmtId="0" fontId="4" fillId="5" borderId="16" xfId="0" applyFont="1" applyFill="1" applyBorder="1"/>
    <xf numFmtId="0" fontId="4" fillId="5" borderId="9" xfId="0" applyFont="1" applyFill="1" applyBorder="1"/>
    <xf numFmtId="0" fontId="4" fillId="5" borderId="9" xfId="0" applyFont="1" applyFill="1" applyBorder="1" applyAlignment="1">
      <alignment horizontal="center" vertical="center"/>
    </xf>
    <xf numFmtId="0" fontId="4" fillId="5" borderId="10" xfId="0" applyFont="1" applyFill="1" applyBorder="1"/>
    <xf numFmtId="0" fontId="4" fillId="5" borderId="17" xfId="0" applyFont="1" applyFill="1" applyBorder="1"/>
    <xf numFmtId="0" fontId="21" fillId="5" borderId="0" xfId="0" applyFont="1" applyFill="1"/>
    <xf numFmtId="10" fontId="4" fillId="5" borderId="0" xfId="3" applyNumberFormat="1" applyFont="1" applyFill="1" applyProtection="1"/>
    <xf numFmtId="0" fontId="4" fillId="5" borderId="0" xfId="0" applyFont="1" applyFill="1"/>
    <xf numFmtId="0" fontId="4" fillId="5" borderId="0" xfId="0" applyFont="1" applyFill="1" applyAlignment="1">
      <alignment horizontal="center" vertical="center"/>
    </xf>
    <xf numFmtId="10" fontId="4" fillId="5" borderId="0" xfId="3" applyNumberFormat="1" applyFont="1" applyFill="1" applyAlignment="1" applyProtection="1">
      <alignment horizontal="center"/>
    </xf>
    <xf numFmtId="0" fontId="4" fillId="5" borderId="11" xfId="0" applyFont="1" applyFill="1" applyBorder="1"/>
    <xf numFmtId="0" fontId="27" fillId="5" borderId="17" xfId="0" applyFont="1" applyFill="1" applyBorder="1"/>
    <xf numFmtId="0" fontId="27" fillId="5" borderId="0" xfId="0" applyFont="1" applyFill="1"/>
    <xf numFmtId="10" fontId="27" fillId="5" borderId="0" xfId="3" applyNumberFormat="1" applyFont="1" applyFill="1" applyProtection="1"/>
    <xf numFmtId="0" fontId="27" fillId="5" borderId="0" xfId="0" applyFont="1" applyFill="1" applyAlignment="1">
      <alignment horizontal="center" vertical="center"/>
    </xf>
    <xf numFmtId="10" fontId="27" fillId="5" borderId="0" xfId="3" applyNumberFormat="1" applyFont="1" applyFill="1" applyAlignment="1" applyProtection="1">
      <alignment horizontal="center"/>
    </xf>
    <xf numFmtId="0" fontId="27" fillId="5" borderId="11" xfId="0" applyFont="1" applyFill="1" applyBorder="1"/>
    <xf numFmtId="0" fontId="20" fillId="5" borderId="0" xfId="0" applyFont="1" applyFill="1"/>
    <xf numFmtId="0" fontId="20" fillId="5" borderId="0" xfId="0" applyFont="1" applyFill="1" applyAlignment="1">
      <alignment horizontal="center" vertical="center"/>
    </xf>
    <xf numFmtId="171" fontId="20" fillId="5" borderId="0" xfId="0" applyNumberFormat="1" applyFont="1" applyFill="1" applyAlignment="1">
      <alignment horizontal="center" vertical="center"/>
    </xf>
    <xf numFmtId="0" fontId="4" fillId="5" borderId="17" xfId="0" applyFont="1" applyFill="1" applyBorder="1" applyAlignment="1">
      <alignment vertical="top"/>
    </xf>
    <xf numFmtId="0" fontId="4" fillId="5" borderId="0" xfId="0" applyFont="1" applyFill="1" applyAlignment="1">
      <alignment vertical="top"/>
    </xf>
    <xf numFmtId="0" fontId="20" fillId="5" borderId="0" xfId="0" applyFont="1" applyFill="1" applyAlignment="1">
      <alignment horizontal="center" vertical="top"/>
    </xf>
    <xf numFmtId="0" fontId="20" fillId="5" borderId="0" xfId="0" applyFont="1" applyFill="1" applyAlignment="1">
      <alignment vertical="top"/>
    </xf>
    <xf numFmtId="171" fontId="20" fillId="5" borderId="0" xfId="0" applyNumberFormat="1" applyFont="1" applyFill="1" applyAlignment="1">
      <alignment horizontal="center" vertical="top"/>
    </xf>
    <xf numFmtId="0" fontId="4" fillId="5" borderId="11" xfId="0" applyFont="1" applyFill="1" applyBorder="1" applyAlignment="1">
      <alignment vertical="top"/>
    </xf>
    <xf numFmtId="0" fontId="4" fillId="0" borderId="0" xfId="0" applyFont="1" applyAlignment="1">
      <alignment vertical="top"/>
    </xf>
    <xf numFmtId="0" fontId="4" fillId="6" borderId="0" xfId="0" applyFont="1" applyFill="1" applyAlignment="1">
      <alignment vertical="top"/>
    </xf>
    <xf numFmtId="0" fontId="21" fillId="5" borderId="18" xfId="0" applyFont="1" applyFill="1" applyBorder="1"/>
    <xf numFmtId="0" fontId="4" fillId="5" borderId="12" xfId="0" applyFont="1" applyFill="1" applyBorder="1"/>
    <xf numFmtId="0" fontId="4" fillId="5" borderId="12" xfId="0" applyFont="1" applyFill="1" applyBorder="1" applyAlignment="1">
      <alignment horizontal="center" vertical="center"/>
    </xf>
    <xf numFmtId="0" fontId="4" fillId="5" borderId="13" xfId="0" applyFont="1" applyFill="1" applyBorder="1"/>
    <xf numFmtId="0" fontId="4" fillId="6" borderId="0" xfId="0" applyFont="1" applyFill="1" applyAlignment="1">
      <alignment horizontal="center" vertical="center"/>
    </xf>
    <xf numFmtId="0" fontId="4" fillId="6" borderId="0" xfId="0" applyFont="1" applyFill="1" applyAlignment="1">
      <alignment horizontal="left" vertical="center" wrapText="1"/>
    </xf>
    <xf numFmtId="164" fontId="4" fillId="6" borderId="0" xfId="0" applyNumberFormat="1" applyFont="1" applyFill="1" applyAlignment="1">
      <alignment horizontal="center" vertical="center"/>
    </xf>
    <xf numFmtId="0" fontId="4" fillId="6" borderId="0" xfId="0" applyFont="1" applyFill="1" applyAlignment="1">
      <alignment horizontal="left" vertical="center"/>
    </xf>
    <xf numFmtId="14" fontId="2" fillId="0" borderId="25" xfId="0" applyNumberFormat="1" applyFont="1" applyBorder="1" applyAlignment="1">
      <alignment horizontal="center"/>
    </xf>
    <xf numFmtId="10" fontId="20" fillId="5" borderId="11" xfId="0" applyNumberFormat="1" applyFont="1" applyFill="1" applyBorder="1" applyAlignment="1">
      <alignment horizontal="center" vertical="center"/>
    </xf>
    <xf numFmtId="0" fontId="20" fillId="5" borderId="11" xfId="0" applyFont="1" applyFill="1" applyBorder="1" applyAlignment="1">
      <alignment horizontal="center" vertical="center"/>
    </xf>
    <xf numFmtId="14" fontId="20" fillId="5" borderId="11" xfId="0" applyNumberFormat="1" applyFont="1" applyFill="1" applyBorder="1" applyAlignment="1">
      <alignment horizontal="center" vertical="center"/>
    </xf>
    <xf numFmtId="44" fontId="20" fillId="13" borderId="6" xfId="0" applyNumberFormat="1" applyFont="1" applyFill="1" applyBorder="1" applyAlignment="1">
      <alignment horizontal="center" vertical="center"/>
    </xf>
    <xf numFmtId="9" fontId="20" fillId="13" borderId="6" xfId="3" applyFont="1" applyFill="1" applyBorder="1" applyAlignment="1">
      <alignment horizontal="center" vertical="center"/>
    </xf>
    <xf numFmtId="172" fontId="10" fillId="5" borderId="16" xfId="0" applyNumberFormat="1" applyFont="1" applyFill="1" applyBorder="1" applyAlignment="1">
      <alignment horizontal="center" vertical="center" wrapText="1"/>
    </xf>
    <xf numFmtId="172" fontId="10" fillId="5" borderId="9" xfId="0" applyNumberFormat="1" applyFont="1" applyFill="1" applyBorder="1" applyAlignment="1">
      <alignment horizontal="center" vertical="center" wrapText="1"/>
    </xf>
    <xf numFmtId="14" fontId="11" fillId="0" borderId="17" xfId="0" applyNumberFormat="1" applyFont="1" applyBorder="1" applyAlignment="1" applyProtection="1">
      <alignment horizontal="center" vertical="center"/>
      <protection locked="0"/>
    </xf>
    <xf numFmtId="14" fontId="11" fillId="0" borderId="11" xfId="0" applyNumberFormat="1" applyFont="1" applyBorder="1" applyAlignment="1" applyProtection="1">
      <alignment horizontal="center" vertical="center"/>
      <protection locked="0"/>
    </xf>
    <xf numFmtId="14" fontId="11" fillId="0" borderId="18" xfId="0" applyNumberFormat="1" applyFont="1" applyBorder="1" applyAlignment="1" applyProtection="1">
      <alignment horizontal="center" vertical="center"/>
      <protection locked="0"/>
    </xf>
    <xf numFmtId="14" fontId="11" fillId="0" borderId="13" xfId="0" applyNumberFormat="1" applyFont="1" applyBorder="1" applyAlignment="1" applyProtection="1">
      <alignment horizontal="center" vertical="center"/>
      <protection locked="0"/>
    </xf>
    <xf numFmtId="0" fontId="10" fillId="5" borderId="16"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4" fillId="0" borderId="18"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21" xfId="0" applyFont="1" applyBorder="1" applyAlignment="1">
      <alignment horizontal="left" vertical="top"/>
    </xf>
    <xf numFmtId="0" fontId="4" fillId="0" borderId="19" xfId="0" applyFont="1" applyBorder="1" applyAlignment="1">
      <alignment horizontal="left" vertical="top"/>
    </xf>
    <xf numFmtId="0" fontId="4" fillId="0" borderId="22" xfId="0" applyFont="1" applyBorder="1" applyAlignment="1">
      <alignment horizontal="left" vertical="top"/>
    </xf>
    <xf numFmtId="0" fontId="10" fillId="4" borderId="20"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2" fillId="5" borderId="12" xfId="0" applyFont="1" applyFill="1" applyBorder="1" applyAlignment="1" applyProtection="1">
      <alignment horizontal="left" vertical="center"/>
      <protection locked="0"/>
    </xf>
    <xf numFmtId="0" fontId="2" fillId="5" borderId="0" xfId="0" applyFont="1" applyFill="1" applyAlignment="1" applyProtection="1">
      <alignment horizontal="left" vertical="center"/>
      <protection locked="0"/>
    </xf>
    <xf numFmtId="4" fontId="2" fillId="5" borderId="0" xfId="0" applyNumberFormat="1" applyFont="1" applyFill="1" applyAlignment="1">
      <alignment horizontal="left" vertical="center"/>
    </xf>
    <xf numFmtId="4" fontId="2" fillId="5" borderId="9" xfId="0" applyNumberFormat="1" applyFont="1" applyFill="1" applyBorder="1" applyAlignment="1">
      <alignment horizontal="left" vertical="center"/>
    </xf>
    <xf numFmtId="0" fontId="20" fillId="3" borderId="18"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58" xfId="0" applyFont="1" applyFill="1" applyBorder="1" applyAlignment="1">
      <alignment horizontal="center" vertical="center"/>
    </xf>
    <xf numFmtId="0" fontId="4" fillId="0" borderId="0" xfId="0" applyFont="1" applyAlignment="1">
      <alignment horizontal="center"/>
    </xf>
    <xf numFmtId="0" fontId="4" fillId="0" borderId="17" xfId="0" applyFont="1" applyBorder="1" applyAlignment="1">
      <alignment horizontal="center"/>
    </xf>
    <xf numFmtId="0" fontId="4" fillId="0" borderId="11" xfId="0" applyFont="1" applyBorder="1" applyAlignment="1">
      <alignment horizontal="center"/>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1" xfId="0" applyFont="1" applyBorder="1" applyAlignment="1">
      <alignment horizontal="center" wrapText="1"/>
    </xf>
    <xf numFmtId="0" fontId="20" fillId="0" borderId="0" xfId="0" applyFont="1" applyAlignment="1">
      <alignment horizontal="center" wrapText="1"/>
    </xf>
    <xf numFmtId="0" fontId="20" fillId="4" borderId="19" xfId="0" applyFont="1" applyFill="1" applyBorder="1" applyAlignment="1">
      <alignment horizontal="center"/>
    </xf>
    <xf numFmtId="0" fontId="20" fillId="0" borderId="0" xfId="0" applyFont="1" applyAlignment="1">
      <alignment horizontal="center"/>
    </xf>
    <xf numFmtId="0" fontId="20" fillId="6" borderId="19" xfId="0" applyFont="1" applyFill="1" applyBorder="1" applyAlignment="1">
      <alignment horizontal="center"/>
    </xf>
    <xf numFmtId="0" fontId="20" fillId="0" borderId="0" xfId="0" applyFont="1" applyAlignment="1">
      <alignment horizontal="center" vertical="center" wrapText="1"/>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2" xfId="0" applyFont="1" applyFill="1" applyBorder="1" applyAlignment="1">
      <alignment horizontal="center" vertical="center"/>
    </xf>
    <xf numFmtId="167" fontId="3" fillId="5" borderId="16" xfId="3" applyNumberFormat="1" applyFont="1" applyFill="1" applyBorder="1" applyAlignment="1">
      <alignment horizontal="center"/>
    </xf>
    <xf numFmtId="167" fontId="3" fillId="5" borderId="10" xfId="3" applyNumberFormat="1" applyFont="1" applyFill="1" applyBorder="1" applyAlignment="1">
      <alignment horizontal="center"/>
    </xf>
    <xf numFmtId="0" fontId="3" fillId="5" borderId="41" xfId="0" applyFont="1" applyFill="1" applyBorder="1" applyAlignment="1">
      <alignment horizontal="center"/>
    </xf>
    <xf numFmtId="0" fontId="3" fillId="5" borderId="11" xfId="0" applyFont="1" applyFill="1" applyBorder="1" applyAlignment="1">
      <alignment horizontal="center"/>
    </xf>
    <xf numFmtId="4" fontId="2" fillId="5" borderId="12" xfId="0" applyNumberFormat="1" applyFont="1" applyFill="1" applyBorder="1" applyAlignment="1">
      <alignment horizontal="left" vertical="center"/>
    </xf>
    <xf numFmtId="14" fontId="3" fillId="0" borderId="18" xfId="0" applyNumberFormat="1" applyFont="1" applyBorder="1" applyAlignment="1">
      <alignment horizontal="center"/>
    </xf>
    <xf numFmtId="14" fontId="3" fillId="0" borderId="13" xfId="0" applyNumberFormat="1" applyFont="1" applyBorder="1" applyAlignment="1">
      <alignment horizontal="center"/>
    </xf>
    <xf numFmtId="0" fontId="4" fillId="0" borderId="16"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18" fillId="6" borderId="19" xfId="0" applyFont="1" applyFill="1" applyBorder="1"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xf numFmtId="0" fontId="11" fillId="8" borderId="12" xfId="0" applyFont="1" applyFill="1" applyBorder="1" applyAlignment="1" applyProtection="1">
      <alignment horizontal="center" vertical="center"/>
      <protection locked="0"/>
    </xf>
    <xf numFmtId="14" fontId="9" fillId="7" borderId="12" xfId="0" applyNumberFormat="1" applyFont="1" applyFill="1" applyBorder="1" applyAlignment="1">
      <alignment horizontal="center" vertical="center"/>
    </xf>
    <xf numFmtId="14" fontId="9" fillId="7" borderId="13" xfId="0" applyNumberFormat="1" applyFont="1" applyFill="1" applyBorder="1" applyAlignment="1">
      <alignment horizontal="center" vertical="center"/>
    </xf>
    <xf numFmtId="4" fontId="10" fillId="5" borderId="16" xfId="0" applyNumberFormat="1" applyFont="1" applyFill="1" applyBorder="1" applyAlignment="1">
      <alignment horizontal="center" vertical="center" wrapText="1"/>
    </xf>
    <xf numFmtId="4" fontId="10" fillId="5" borderId="9" xfId="0" applyNumberFormat="1" applyFont="1" applyFill="1" applyBorder="1" applyAlignment="1">
      <alignment horizontal="center" vertical="center" wrapText="1"/>
    </xf>
    <xf numFmtId="4" fontId="10" fillId="5" borderId="10" xfId="0" applyNumberFormat="1" applyFont="1" applyFill="1" applyBorder="1" applyAlignment="1">
      <alignment horizontal="center" vertical="center" wrapText="1"/>
    </xf>
    <xf numFmtId="0" fontId="11" fillId="7" borderId="9" xfId="0" applyFont="1" applyFill="1" applyBorder="1" applyAlignment="1">
      <alignment horizontal="center" vertical="center"/>
    </xf>
    <xf numFmtId="166" fontId="9" fillId="7" borderId="9" xfId="0" applyNumberFormat="1" applyFont="1" applyFill="1" applyBorder="1" applyAlignment="1">
      <alignment horizontal="center" vertical="center"/>
    </xf>
    <xf numFmtId="166" fontId="9" fillId="7" borderId="10" xfId="0" applyNumberFormat="1" applyFont="1" applyFill="1" applyBorder="1" applyAlignment="1">
      <alignment horizontal="center" vertical="center"/>
    </xf>
    <xf numFmtId="0" fontId="9" fillId="7" borderId="0" xfId="0" applyFont="1" applyFill="1" applyAlignment="1">
      <alignment horizontal="center" vertical="center"/>
    </xf>
    <xf numFmtId="14" fontId="9" fillId="7" borderId="0" xfId="0" applyNumberFormat="1" applyFont="1" applyFill="1" applyAlignment="1">
      <alignment horizontal="center" vertical="center"/>
    </xf>
    <xf numFmtId="14" fontId="9" fillId="7" borderId="11" xfId="0" applyNumberFormat="1" applyFont="1" applyFill="1" applyBorder="1" applyAlignment="1">
      <alignment horizontal="center" vertical="center"/>
    </xf>
    <xf numFmtId="0" fontId="20" fillId="3" borderId="18" xfId="0" applyFont="1" applyFill="1" applyBorder="1" applyAlignment="1" applyProtection="1">
      <alignment horizontal="center" vertical="center" wrapText="1"/>
      <protection locked="0"/>
    </xf>
    <xf numFmtId="0" fontId="20" fillId="3" borderId="12" xfId="0" applyFont="1" applyFill="1" applyBorder="1" applyAlignment="1" applyProtection="1">
      <alignment horizontal="center" vertical="center" wrapText="1"/>
      <protection locked="0"/>
    </xf>
    <xf numFmtId="0" fontId="20" fillId="3" borderId="13" xfId="0" applyFont="1" applyFill="1" applyBorder="1" applyAlignment="1" applyProtection="1">
      <alignment horizontal="center" vertical="center" wrapText="1"/>
      <protection locked="0"/>
    </xf>
    <xf numFmtId="0" fontId="28" fillId="5" borderId="0" xfId="0" applyFont="1" applyFill="1" applyAlignment="1">
      <alignment horizontal="center" vertical="center"/>
    </xf>
    <xf numFmtId="0" fontId="20" fillId="5" borderId="0" xfId="0" applyFont="1" applyFill="1" applyAlignment="1">
      <alignment horizontal="center" vertical="center"/>
    </xf>
    <xf numFmtId="171" fontId="4" fillId="5" borderId="0" xfId="0" applyNumberFormat="1" applyFont="1" applyFill="1" applyAlignment="1">
      <alignment horizontal="center" vertical="center"/>
    </xf>
    <xf numFmtId="10" fontId="20" fillId="5" borderId="0" xfId="3" applyNumberFormat="1" applyFont="1" applyFill="1" applyAlignment="1" applyProtection="1">
      <alignment horizontal="center" vertical="center"/>
    </xf>
    <xf numFmtId="0" fontId="20" fillId="5" borderId="3" xfId="0" applyFont="1" applyFill="1" applyBorder="1" applyAlignment="1">
      <alignment horizontal="center" vertical="top"/>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11" xfId="0" applyFont="1" applyBorder="1" applyAlignment="1">
      <alignment horizontal="center" vertical="center"/>
    </xf>
    <xf numFmtId="0" fontId="20" fillId="0" borderId="17" xfId="0" applyFont="1" applyBorder="1" applyAlignment="1">
      <alignment horizontal="left" vertical="center"/>
    </xf>
    <xf numFmtId="0" fontId="20" fillId="0" borderId="0" xfId="0" applyFont="1" applyAlignment="1">
      <alignment horizontal="left" vertical="center"/>
    </xf>
    <xf numFmtId="0" fontId="20" fillId="0" borderId="11" xfId="0" applyFont="1" applyBorder="1" applyAlignment="1">
      <alignment horizontal="left" vertical="center"/>
    </xf>
    <xf numFmtId="4" fontId="10" fillId="5" borderId="16" xfId="0" applyNumberFormat="1" applyFont="1" applyFill="1" applyBorder="1" applyAlignment="1" applyProtection="1">
      <alignment horizontal="center" vertical="center"/>
      <protection locked="0"/>
    </xf>
    <xf numFmtId="4" fontId="10" fillId="5" borderId="9" xfId="0" applyNumberFormat="1" applyFont="1" applyFill="1" applyBorder="1" applyAlignment="1" applyProtection="1">
      <alignment horizontal="center" vertical="center"/>
      <protection locked="0"/>
    </xf>
    <xf numFmtId="4" fontId="10" fillId="5" borderId="10" xfId="0" applyNumberFormat="1" applyFont="1" applyFill="1" applyBorder="1" applyAlignment="1" applyProtection="1">
      <alignment horizontal="center" vertical="center"/>
      <protection locked="0"/>
    </xf>
    <xf numFmtId="4" fontId="8" fillId="0" borderId="9" xfId="0" applyNumberFormat="1"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164" fontId="8" fillId="5" borderId="27" xfId="0" applyNumberFormat="1" applyFont="1" applyFill="1" applyBorder="1" applyAlignment="1">
      <alignment horizontal="center" vertical="center"/>
    </xf>
    <xf numFmtId="164" fontId="8" fillId="5" borderId="31" xfId="0" applyNumberFormat="1" applyFont="1" applyFill="1" applyBorder="1" applyAlignment="1">
      <alignment horizontal="center" vertical="center"/>
    </xf>
    <xf numFmtId="164" fontId="8" fillId="5" borderId="35" xfId="0" applyNumberFormat="1" applyFont="1" applyFill="1" applyBorder="1" applyAlignment="1">
      <alignment horizontal="center" vertical="center"/>
    </xf>
    <xf numFmtId="10" fontId="8" fillId="5" borderId="26" xfId="0" applyNumberFormat="1" applyFont="1" applyFill="1" applyBorder="1" applyAlignment="1">
      <alignment horizontal="center" vertical="center"/>
    </xf>
    <xf numFmtId="10" fontId="8" fillId="5" borderId="30" xfId="0" applyNumberFormat="1" applyFont="1" applyFill="1" applyBorder="1" applyAlignment="1">
      <alignment horizontal="center" vertical="center"/>
    </xf>
    <xf numFmtId="10" fontId="8" fillId="5" borderId="34" xfId="0" applyNumberFormat="1" applyFont="1" applyFill="1" applyBorder="1" applyAlignment="1">
      <alignment horizontal="center" vertical="center"/>
    </xf>
    <xf numFmtId="49" fontId="8" fillId="5" borderId="24" xfId="0" applyNumberFormat="1" applyFont="1" applyFill="1" applyBorder="1" applyAlignment="1">
      <alignment horizontal="center" vertical="center"/>
    </xf>
    <xf numFmtId="0" fontId="8" fillId="5" borderId="41" xfId="0" applyFont="1" applyFill="1" applyBorder="1" applyAlignment="1">
      <alignment horizontal="center" vertical="center"/>
    </xf>
    <xf numFmtId="0" fontId="8" fillId="5" borderId="25" xfId="0" applyFont="1" applyFill="1" applyBorder="1" applyAlignment="1">
      <alignment horizontal="center" vertical="center"/>
    </xf>
    <xf numFmtId="0" fontId="4" fillId="0" borderId="21" xfId="0" applyFont="1" applyBorder="1" applyAlignment="1">
      <alignment horizontal="center"/>
    </xf>
    <xf numFmtId="0" fontId="4" fillId="0" borderId="19" xfId="0" applyFont="1" applyBorder="1" applyAlignment="1">
      <alignment horizontal="center"/>
    </xf>
    <xf numFmtId="0" fontId="4" fillId="0" borderId="22" xfId="0" applyFont="1" applyBorder="1" applyAlignment="1">
      <alignment horizont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21"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22"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4"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24" xfId="0" applyFont="1" applyBorder="1" applyAlignment="1">
      <alignment horizontal="left" vertical="center" wrapText="1"/>
    </xf>
    <xf numFmtId="0" fontId="8" fillId="0" borderId="41" xfId="0" applyFont="1" applyBorder="1" applyAlignment="1">
      <alignment horizontal="left" vertical="center" wrapText="1"/>
    </xf>
    <xf numFmtId="0" fontId="8" fillId="0" borderId="25" xfId="0" applyFont="1" applyBorder="1" applyAlignment="1">
      <alignment horizontal="left" vertical="center" wrapText="1"/>
    </xf>
    <xf numFmtId="0" fontId="5" fillId="5" borderId="45" xfId="0" applyFont="1" applyFill="1" applyBorder="1" applyAlignment="1">
      <alignment horizontal="left" vertical="center"/>
    </xf>
    <xf numFmtId="0" fontId="5" fillId="5" borderId="44" xfId="0" applyFont="1" applyFill="1" applyBorder="1" applyAlignment="1">
      <alignment horizontal="left" vertical="center"/>
    </xf>
    <xf numFmtId="0" fontId="5" fillId="5" borderId="15" xfId="0" applyFont="1" applyFill="1" applyBorder="1" applyAlignment="1">
      <alignment horizontal="left" vertical="center"/>
    </xf>
    <xf numFmtId="10" fontId="8" fillId="5" borderId="24" xfId="0" applyNumberFormat="1" applyFont="1" applyFill="1" applyBorder="1" applyAlignment="1">
      <alignment horizontal="center" vertical="center"/>
    </xf>
    <xf numFmtId="10" fontId="8" fillId="5" borderId="41" xfId="0" applyNumberFormat="1" applyFont="1" applyFill="1" applyBorder="1" applyAlignment="1">
      <alignment horizontal="center" vertical="center"/>
    </xf>
    <xf numFmtId="10" fontId="8" fillId="5" borderId="25" xfId="0" applyNumberFormat="1" applyFont="1" applyFill="1" applyBorder="1" applyAlignment="1">
      <alignment horizontal="center" vertical="center"/>
    </xf>
    <xf numFmtId="4" fontId="2" fillId="5" borderId="11" xfId="0" applyNumberFormat="1" applyFont="1" applyFill="1" applyBorder="1" applyAlignment="1">
      <alignment horizontal="left" vertical="center"/>
    </xf>
    <xf numFmtId="4" fontId="2" fillId="5" borderId="13" xfId="0" applyNumberFormat="1" applyFont="1" applyFill="1" applyBorder="1" applyAlignment="1">
      <alignment horizontal="left" vertical="center"/>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20" fillId="13" borderId="21" xfId="0" applyFont="1" applyFill="1" applyBorder="1" applyAlignment="1">
      <alignment horizontal="left" vertical="center"/>
    </xf>
    <xf numFmtId="0" fontId="20" fillId="13" borderId="19" xfId="0" applyFont="1" applyFill="1" applyBorder="1" applyAlignment="1">
      <alignment horizontal="left" vertical="center"/>
    </xf>
    <xf numFmtId="0" fontId="20" fillId="13" borderId="23" xfId="0" applyFont="1" applyFill="1" applyBorder="1" applyAlignment="1">
      <alignment horizontal="left" vertical="center"/>
    </xf>
    <xf numFmtId="9" fontId="4" fillId="13" borderId="72" xfId="3" applyFont="1" applyFill="1" applyBorder="1" applyAlignment="1">
      <alignment horizontal="center" vertical="center"/>
    </xf>
    <xf numFmtId="9" fontId="4" fillId="13" borderId="22" xfId="3" applyFont="1" applyFill="1" applyBorder="1" applyAlignment="1">
      <alignment horizontal="center" vertical="center"/>
    </xf>
  </cellXfs>
  <cellStyles count="6">
    <cellStyle name="Moeda" xfId="2" builtinId="4"/>
    <cellStyle name="Normal" xfId="0" builtinId="0"/>
    <cellStyle name="Normal 2" xfId="5" xr:uid="{FA23741B-385A-4A21-AA03-18CE945BDFF0}"/>
    <cellStyle name="Porcentagem" xfId="3" builtinId="5"/>
    <cellStyle name="Porcentagem 2 2 3" xfId="4" xr:uid="{00000000-0005-0000-0000-000003000000}"/>
    <cellStyle name="Vírgula" xfId="1" builtinId="3"/>
  </cellStyles>
  <dxfs count="4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352425</xdr:colOff>
          <xdr:row>0</xdr:row>
          <xdr:rowOff>57150</xdr:rowOff>
        </xdr:from>
        <xdr:to>
          <xdr:col>4</xdr:col>
          <xdr:colOff>931356</xdr:colOff>
          <xdr:row>0</xdr:row>
          <xdr:rowOff>733425</xdr:rowOff>
        </xdr:to>
        <xdr:pic>
          <xdr:nvPicPr>
            <xdr:cNvPr id="3" name="Imagem 2">
              <a:extLst>
                <a:ext uri="{FF2B5EF4-FFF2-40B4-BE49-F238E27FC236}">
                  <a16:creationId xmlns:a16="http://schemas.microsoft.com/office/drawing/2014/main" id="{4D23C17D-D557-4C39-86E3-98EAB2D2ED50}"/>
                </a:ext>
              </a:extLst>
            </xdr:cNvPr>
            <xdr:cNvPicPr>
              <a:picLocks noChangeAspect="1" noChangeArrowheads="1"/>
              <a:extLst>
                <a:ext uri="{84589F7E-364E-4C9E-8A38-B11213B215E9}">
                  <a14:cameraTool cellRange="IMAGEM_PREFEITURA" spid="_x0000_s32366"/>
                </a:ext>
              </a:extLst>
            </xdr:cNvPicPr>
          </xdr:nvPicPr>
          <xdr:blipFill>
            <a:blip xmlns:r="http://schemas.openxmlformats.org/officeDocument/2006/relationships" r:embed="rId1"/>
            <a:srcRect/>
            <a:stretch>
              <a:fillRect/>
            </a:stretch>
          </xdr:blipFill>
          <xdr:spPr bwMode="auto">
            <a:xfrm>
              <a:off x="10258425" y="57150"/>
              <a:ext cx="578931" cy="6762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712767</xdr:colOff>
          <xdr:row>0</xdr:row>
          <xdr:rowOff>51955</xdr:rowOff>
        </xdr:from>
        <xdr:to>
          <xdr:col>9</xdr:col>
          <xdr:colOff>1621725</xdr:colOff>
          <xdr:row>0</xdr:row>
          <xdr:rowOff>1155650</xdr:rowOff>
        </xdr:to>
        <xdr:pic>
          <xdr:nvPicPr>
            <xdr:cNvPr id="2" name="Imagem 1">
              <a:extLst>
                <a:ext uri="{FF2B5EF4-FFF2-40B4-BE49-F238E27FC236}">
                  <a16:creationId xmlns:a16="http://schemas.microsoft.com/office/drawing/2014/main" id="{F51679BC-F04F-4BD4-B126-F917A629D1F3}"/>
                </a:ext>
              </a:extLst>
            </xdr:cNvPr>
            <xdr:cNvPicPr>
              <a:picLocks noChangeAspect="1" noChangeArrowheads="1"/>
              <a:extLst>
                <a:ext uri="{84589F7E-364E-4C9E-8A38-B11213B215E9}">
                  <a14:cameraTool cellRange="IMAGEM_PREFEITURA" spid="_x0000_s30329"/>
                </a:ext>
              </a:extLst>
            </xdr:cNvPicPr>
          </xdr:nvPicPr>
          <xdr:blipFill>
            <a:blip xmlns:r="http://schemas.openxmlformats.org/officeDocument/2006/relationships" r:embed="rId1"/>
            <a:srcRect/>
            <a:stretch>
              <a:fillRect/>
            </a:stretch>
          </xdr:blipFill>
          <xdr:spPr bwMode="auto">
            <a:xfrm>
              <a:off x="16351085" y="51955"/>
              <a:ext cx="908958" cy="110369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183696</xdr:colOff>
          <xdr:row>0</xdr:row>
          <xdr:rowOff>38100</xdr:rowOff>
        </xdr:from>
        <xdr:to>
          <xdr:col>9</xdr:col>
          <xdr:colOff>962138</xdr:colOff>
          <xdr:row>0</xdr:row>
          <xdr:rowOff>949097</xdr:rowOff>
        </xdr:to>
        <xdr:pic>
          <xdr:nvPicPr>
            <xdr:cNvPr id="3" name="Imagem 2">
              <a:extLst>
                <a:ext uri="{FF2B5EF4-FFF2-40B4-BE49-F238E27FC236}">
                  <a16:creationId xmlns:a16="http://schemas.microsoft.com/office/drawing/2014/main" id="{1D1148BC-942F-4DC5-9E77-E702E9BEFC39}"/>
                </a:ext>
              </a:extLst>
            </xdr:cNvPr>
            <xdr:cNvPicPr>
              <a:picLocks noChangeAspect="1" noChangeArrowheads="1"/>
              <a:extLst>
                <a:ext uri="{84589F7E-364E-4C9E-8A38-B11213B215E9}">
                  <a14:cameraTool cellRange="IMAGEM_PREFEITURA" spid="_x0000_s41399"/>
                </a:ext>
              </a:extLst>
            </xdr:cNvPicPr>
          </xdr:nvPicPr>
          <xdr:blipFill>
            <a:blip xmlns:r="http://schemas.openxmlformats.org/officeDocument/2006/relationships" r:embed="rId1"/>
            <a:srcRect/>
            <a:stretch>
              <a:fillRect/>
            </a:stretch>
          </xdr:blipFill>
          <xdr:spPr bwMode="auto">
            <a:xfrm>
              <a:off x="9967232" y="38100"/>
              <a:ext cx="778442" cy="91099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6</xdr:col>
      <xdr:colOff>28575</xdr:colOff>
      <xdr:row>16</xdr:row>
      <xdr:rowOff>195260</xdr:rowOff>
    </xdr:from>
    <xdr:ext cx="3924300" cy="441211"/>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AAFBF171-E579-4CF5-A8E1-32D55C034B7B}"/>
                </a:ext>
              </a:extLst>
            </xdr:cNvPr>
            <xdr:cNvSpPr txBox="1"/>
          </xdr:nvSpPr>
          <xdr:spPr>
            <a:xfrm>
              <a:off x="2628900" y="3567110"/>
              <a:ext cx="3924300" cy="441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pt-BR" sz="1800" b="1" i="1">
                      <a:latin typeface="Cambria Math" panose="02040503050406030204" pitchFamily="18" charset="0"/>
                    </a:rPr>
                    <m:t>𝑩𝑫𝑰</m:t>
                  </m:r>
                  <m:r>
                    <a:rPr lang="pt-BR" sz="1800" b="1" i="1">
                      <a:latin typeface="Cambria Math" panose="02040503050406030204" pitchFamily="18" charset="0"/>
                    </a:rPr>
                    <m:t>=</m:t>
                  </m:r>
                  <m:d>
                    <m:dPr>
                      <m:begChr m:val="⌊"/>
                      <m:endChr m:val="⌋"/>
                      <m:ctrlPr>
                        <a:rPr lang="pt-BR" sz="1800" b="1" i="1">
                          <a:latin typeface="Cambria Math" panose="02040503050406030204" pitchFamily="18" charset="0"/>
                        </a:rPr>
                      </m:ctrlPr>
                    </m:dPr>
                    <m:e>
                      <m:f>
                        <m:fPr>
                          <m:ctrlPr>
                            <a:rPr lang="pt-BR" sz="1800" b="1" i="1">
                              <a:solidFill>
                                <a:schemeClr val="tx1"/>
                              </a:solidFill>
                              <a:effectLst/>
                              <a:latin typeface="Cambria Math" panose="02040503050406030204" pitchFamily="18" charset="0"/>
                              <a:ea typeface="+mn-ea"/>
                              <a:cs typeface="+mn-cs"/>
                            </a:rPr>
                          </m:ctrlPr>
                        </m:fPr>
                        <m:num>
                          <m:d>
                            <m:dPr>
                              <m:ctrlPr>
                                <a:rPr lang="pt-BR" sz="1800" b="1" i="1">
                                  <a:solidFill>
                                    <a:schemeClr val="tx1"/>
                                  </a:solidFill>
                                  <a:effectLst/>
                                  <a:latin typeface="Cambria Math" panose="02040503050406030204" pitchFamily="18" charset="0"/>
                                  <a:ea typeface="+mn-ea"/>
                                  <a:cs typeface="+mn-cs"/>
                                </a:rPr>
                              </m:ctrlPr>
                            </m:dPr>
                            <m:e>
                              <m:r>
                                <a:rPr lang="pt-BR" sz="1800" b="1" i="1">
                                  <a:solidFill>
                                    <a:schemeClr val="tx1"/>
                                  </a:solidFill>
                                  <a:effectLst/>
                                  <a:latin typeface="Cambria Math" panose="02040503050406030204" pitchFamily="18" charset="0"/>
                                  <a:ea typeface="+mn-ea"/>
                                  <a:cs typeface="+mn-cs"/>
                                </a:rPr>
                                <m:t>𝟏</m:t>
                              </m:r>
                              <m:r>
                                <a:rPr lang="pt-BR" sz="1800" b="1" i="1">
                                  <a:solidFill>
                                    <a:schemeClr val="tx1"/>
                                  </a:solidFill>
                                  <a:effectLst/>
                                  <a:latin typeface="Cambria Math" panose="02040503050406030204" pitchFamily="18" charset="0"/>
                                  <a:ea typeface="+mn-ea"/>
                                  <a:cs typeface="+mn-cs"/>
                                </a:rPr>
                                <m:t>+</m:t>
                              </m:r>
                              <m:r>
                                <a:rPr lang="pt-BR" sz="1800" b="1" i="1">
                                  <a:solidFill>
                                    <a:schemeClr val="tx1"/>
                                  </a:solidFill>
                                  <a:effectLst/>
                                  <a:latin typeface="Cambria Math" panose="02040503050406030204" pitchFamily="18" charset="0"/>
                                  <a:ea typeface="+mn-ea"/>
                                  <a:cs typeface="+mn-cs"/>
                                </a:rPr>
                                <m:t>𝑨𝑪</m:t>
                              </m:r>
                              <m:r>
                                <a:rPr lang="pt-BR" sz="1800" b="1" i="1">
                                  <a:solidFill>
                                    <a:schemeClr val="tx1"/>
                                  </a:solidFill>
                                  <a:effectLst/>
                                  <a:latin typeface="Cambria Math" panose="02040503050406030204" pitchFamily="18" charset="0"/>
                                  <a:ea typeface="+mn-ea"/>
                                  <a:cs typeface="+mn-cs"/>
                                </a:rPr>
                                <m:t>+</m:t>
                              </m:r>
                              <m:r>
                                <a:rPr lang="pt-BR" sz="1800" b="1" i="1">
                                  <a:solidFill>
                                    <a:schemeClr val="tx1"/>
                                  </a:solidFill>
                                  <a:effectLst/>
                                  <a:latin typeface="Cambria Math" panose="02040503050406030204" pitchFamily="18" charset="0"/>
                                  <a:ea typeface="+mn-ea"/>
                                  <a:cs typeface="+mn-cs"/>
                                </a:rPr>
                                <m:t>𝑺</m:t>
                              </m:r>
                              <m:r>
                                <a:rPr lang="pt-BR" sz="1800" b="1" i="1">
                                  <a:solidFill>
                                    <a:schemeClr val="tx1"/>
                                  </a:solidFill>
                                  <a:effectLst/>
                                  <a:latin typeface="Cambria Math" panose="02040503050406030204" pitchFamily="18" charset="0"/>
                                  <a:ea typeface="+mn-ea"/>
                                  <a:cs typeface="+mn-cs"/>
                                </a:rPr>
                                <m:t>+</m:t>
                              </m:r>
                              <m:r>
                                <a:rPr lang="pt-BR" sz="1800" b="1" i="1">
                                  <a:solidFill>
                                    <a:schemeClr val="tx1"/>
                                  </a:solidFill>
                                  <a:effectLst/>
                                  <a:latin typeface="Cambria Math" panose="02040503050406030204" pitchFamily="18" charset="0"/>
                                  <a:ea typeface="+mn-ea"/>
                                  <a:cs typeface="+mn-cs"/>
                                </a:rPr>
                                <m:t>𝑹</m:t>
                              </m:r>
                              <m:r>
                                <a:rPr lang="pt-BR" sz="1800" b="1" i="1">
                                  <a:solidFill>
                                    <a:schemeClr val="tx1"/>
                                  </a:solidFill>
                                  <a:effectLst/>
                                  <a:latin typeface="Cambria Math" panose="02040503050406030204" pitchFamily="18" charset="0"/>
                                  <a:ea typeface="+mn-ea"/>
                                  <a:cs typeface="+mn-cs"/>
                                </a:rPr>
                                <m:t>+</m:t>
                              </m:r>
                              <m:r>
                                <a:rPr lang="pt-BR" sz="1800" b="1" i="1">
                                  <a:solidFill>
                                    <a:schemeClr val="tx1"/>
                                  </a:solidFill>
                                  <a:effectLst/>
                                  <a:latin typeface="Cambria Math" panose="02040503050406030204" pitchFamily="18" charset="0"/>
                                  <a:ea typeface="+mn-ea"/>
                                  <a:cs typeface="+mn-cs"/>
                                </a:rPr>
                                <m:t>𝑮</m:t>
                              </m:r>
                              <m:r>
                                <m:rPr>
                                  <m:nor/>
                                </m:rPr>
                                <a:rPr lang="pt-BR" sz="1800" b="1" i="1">
                                  <a:solidFill>
                                    <a:schemeClr val="tx1"/>
                                  </a:solidFill>
                                  <a:effectLst/>
                                  <a:latin typeface="+mn-lt"/>
                                  <a:ea typeface="+mn-ea"/>
                                  <a:cs typeface="+mn-cs"/>
                                </a:rPr>
                                <m:t> </m:t>
                              </m:r>
                            </m:e>
                          </m:d>
                          <m:d>
                            <m:dPr>
                              <m:ctrlPr>
                                <a:rPr lang="pt-BR" sz="1800" b="1" i="1">
                                  <a:solidFill>
                                    <a:schemeClr val="tx1"/>
                                  </a:solidFill>
                                  <a:effectLst/>
                                  <a:latin typeface="Cambria Math" panose="02040503050406030204" pitchFamily="18" charset="0"/>
                                  <a:ea typeface="+mn-ea"/>
                                  <a:cs typeface="+mn-cs"/>
                                </a:rPr>
                              </m:ctrlPr>
                            </m:dPr>
                            <m:e>
                              <m:r>
                                <a:rPr lang="pt-BR" sz="1800" b="1" i="1">
                                  <a:solidFill>
                                    <a:schemeClr val="tx1"/>
                                  </a:solidFill>
                                  <a:effectLst/>
                                  <a:latin typeface="Cambria Math" panose="02040503050406030204" pitchFamily="18" charset="0"/>
                                  <a:ea typeface="+mn-ea"/>
                                  <a:cs typeface="+mn-cs"/>
                                </a:rPr>
                                <m:t>𝟏</m:t>
                              </m:r>
                              <m:r>
                                <a:rPr lang="pt-BR" sz="1800" b="1" i="1">
                                  <a:solidFill>
                                    <a:schemeClr val="tx1"/>
                                  </a:solidFill>
                                  <a:effectLst/>
                                  <a:latin typeface="Cambria Math" panose="02040503050406030204" pitchFamily="18" charset="0"/>
                                  <a:ea typeface="+mn-ea"/>
                                  <a:cs typeface="+mn-cs"/>
                                </a:rPr>
                                <m:t>+</m:t>
                              </m:r>
                              <m:r>
                                <a:rPr lang="pt-BR" sz="1800" b="1" i="1">
                                  <a:solidFill>
                                    <a:schemeClr val="tx1"/>
                                  </a:solidFill>
                                  <a:effectLst/>
                                  <a:latin typeface="Cambria Math" panose="02040503050406030204" pitchFamily="18" charset="0"/>
                                  <a:ea typeface="+mn-ea"/>
                                  <a:cs typeface="+mn-cs"/>
                                </a:rPr>
                                <m:t>𝑫𝑭</m:t>
                              </m:r>
                              <m:r>
                                <a:rPr lang="pt-BR" sz="1800" b="1" i="1">
                                  <a:solidFill>
                                    <a:schemeClr val="tx1"/>
                                  </a:solidFill>
                                  <a:effectLst/>
                                  <a:latin typeface="Cambria Math" panose="02040503050406030204" pitchFamily="18" charset="0"/>
                                  <a:ea typeface="+mn-ea"/>
                                  <a:cs typeface="+mn-cs"/>
                                </a:rPr>
                                <m:t>)</m:t>
                              </m:r>
                            </m:e>
                          </m:d>
                          <m:d>
                            <m:dPr>
                              <m:ctrlPr>
                                <a:rPr lang="pt-BR" sz="1800" b="1" i="1">
                                  <a:solidFill>
                                    <a:schemeClr val="tx1"/>
                                  </a:solidFill>
                                  <a:effectLst/>
                                  <a:latin typeface="Cambria Math" panose="02040503050406030204" pitchFamily="18" charset="0"/>
                                  <a:ea typeface="+mn-ea"/>
                                  <a:cs typeface="+mn-cs"/>
                                </a:rPr>
                              </m:ctrlPr>
                            </m:dPr>
                            <m:e>
                              <m:r>
                                <a:rPr lang="pt-BR" sz="1800" b="1" i="1">
                                  <a:solidFill>
                                    <a:schemeClr val="tx1"/>
                                  </a:solidFill>
                                  <a:effectLst/>
                                  <a:latin typeface="Cambria Math" panose="02040503050406030204" pitchFamily="18" charset="0"/>
                                  <a:ea typeface="+mn-ea"/>
                                  <a:cs typeface="+mn-cs"/>
                                </a:rPr>
                                <m:t>𝟏</m:t>
                              </m:r>
                              <m:r>
                                <a:rPr lang="pt-BR" sz="1800" b="1" i="1">
                                  <a:solidFill>
                                    <a:schemeClr val="tx1"/>
                                  </a:solidFill>
                                  <a:effectLst/>
                                  <a:latin typeface="Cambria Math" panose="02040503050406030204" pitchFamily="18" charset="0"/>
                                  <a:ea typeface="+mn-ea"/>
                                  <a:cs typeface="+mn-cs"/>
                                </a:rPr>
                                <m:t>+</m:t>
                              </m:r>
                              <m:r>
                                <a:rPr lang="pt-BR" sz="1800" b="1" i="1">
                                  <a:solidFill>
                                    <a:schemeClr val="tx1"/>
                                  </a:solidFill>
                                  <a:effectLst/>
                                  <a:latin typeface="Cambria Math" panose="02040503050406030204" pitchFamily="18" charset="0"/>
                                  <a:ea typeface="+mn-ea"/>
                                  <a:cs typeface="+mn-cs"/>
                                </a:rPr>
                                <m:t>𝑳</m:t>
                              </m:r>
                            </m:e>
                          </m:d>
                          <m:r>
                            <m:rPr>
                              <m:nor/>
                            </m:rPr>
                            <a:rPr lang="pt-BR" sz="1800" b="1" i="1">
                              <a:solidFill>
                                <a:schemeClr val="tx1"/>
                              </a:solidFill>
                              <a:effectLst/>
                              <a:latin typeface="+mn-lt"/>
                              <a:ea typeface="+mn-ea"/>
                              <a:cs typeface="+mn-cs"/>
                            </a:rPr>
                            <m:t> </m:t>
                          </m:r>
                        </m:num>
                        <m:den>
                          <m:d>
                            <m:dPr>
                              <m:ctrlPr>
                                <a:rPr lang="pt-BR" sz="1800" b="1" i="1">
                                  <a:solidFill>
                                    <a:schemeClr val="tx1"/>
                                  </a:solidFill>
                                  <a:effectLst/>
                                  <a:latin typeface="Cambria Math" panose="02040503050406030204" pitchFamily="18" charset="0"/>
                                  <a:ea typeface="+mn-ea"/>
                                  <a:cs typeface="+mn-cs"/>
                                </a:rPr>
                              </m:ctrlPr>
                            </m:dPr>
                            <m:e>
                              <m:r>
                                <a:rPr lang="pt-BR" sz="1800" b="1" i="1">
                                  <a:solidFill>
                                    <a:schemeClr val="tx1"/>
                                  </a:solidFill>
                                  <a:effectLst/>
                                  <a:latin typeface="Cambria Math" panose="02040503050406030204" pitchFamily="18" charset="0"/>
                                  <a:ea typeface="+mn-ea"/>
                                  <a:cs typeface="+mn-cs"/>
                                </a:rPr>
                                <m:t>𝟏</m:t>
                              </m:r>
                              <m:r>
                                <a:rPr lang="pt-BR" sz="1800" b="1" i="1">
                                  <a:solidFill>
                                    <a:schemeClr val="tx1"/>
                                  </a:solidFill>
                                  <a:effectLst/>
                                  <a:latin typeface="Cambria Math" panose="02040503050406030204" pitchFamily="18" charset="0"/>
                                  <a:ea typeface="+mn-ea"/>
                                  <a:cs typeface="+mn-cs"/>
                                </a:rPr>
                                <m:t>−</m:t>
                              </m:r>
                              <m:r>
                                <a:rPr lang="pt-BR" sz="1800" b="1" i="1">
                                  <a:solidFill>
                                    <a:schemeClr val="tx1"/>
                                  </a:solidFill>
                                  <a:effectLst/>
                                  <a:latin typeface="Cambria Math" panose="02040503050406030204" pitchFamily="18" charset="0"/>
                                  <a:ea typeface="+mn-ea"/>
                                  <a:cs typeface="+mn-cs"/>
                                </a:rPr>
                                <m:t>𝑰</m:t>
                              </m:r>
                            </m:e>
                          </m:d>
                        </m:den>
                      </m:f>
                      <m:r>
                        <m:rPr>
                          <m:nor/>
                        </m:rPr>
                        <a:rPr lang="pt-BR" sz="1800" b="1" i="1">
                          <a:effectLst/>
                        </a:rPr>
                        <m:t> </m:t>
                      </m:r>
                    </m:e>
                  </m:d>
                </m:oMath>
              </a14:m>
              <a:r>
                <a:rPr lang="pt-BR" sz="1800" b="1" i="1"/>
                <a:t>-1</a:t>
              </a:r>
            </a:p>
          </xdr:txBody>
        </xdr:sp>
      </mc:Choice>
      <mc:Fallback xmlns="">
        <xdr:sp macro="" textlink="">
          <xdr:nvSpPr>
            <xdr:cNvPr id="2" name="CaixaDeTexto 1">
              <a:extLst>
                <a:ext uri="{FF2B5EF4-FFF2-40B4-BE49-F238E27FC236}">
                  <a16:creationId xmlns:a16="http://schemas.microsoft.com/office/drawing/2014/main" id="{AAFBF171-E579-4CF5-A8E1-32D55C034B7B}"/>
                </a:ext>
              </a:extLst>
            </xdr:cNvPr>
            <xdr:cNvSpPr txBox="1"/>
          </xdr:nvSpPr>
          <xdr:spPr>
            <a:xfrm>
              <a:off x="2628900" y="3567110"/>
              <a:ext cx="3924300" cy="441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pt-BR" sz="1800" b="1" i="0">
                  <a:latin typeface="Cambria Math" panose="02040503050406030204" pitchFamily="18" charset="0"/>
                </a:rPr>
                <a:t>𝑩𝑫𝑰=⌊</a:t>
              </a:r>
              <a:r>
                <a:rPr lang="pt-BR" sz="1800" b="1" i="0">
                  <a:solidFill>
                    <a:schemeClr val="tx1"/>
                  </a:solidFill>
                  <a:effectLst/>
                  <a:latin typeface="Cambria Math" panose="02040503050406030204" pitchFamily="18" charset="0"/>
                  <a:ea typeface="+mn-ea"/>
                  <a:cs typeface="+mn-cs"/>
                </a:rPr>
                <a:t>(𝟏+𝑨𝑪+𝑺+𝑹+𝑮</a:t>
              </a:r>
              <a:r>
                <a:rPr lang="pt-BR" sz="1800" b="1" i="0">
                  <a:solidFill>
                    <a:schemeClr val="tx1"/>
                  </a:solidFill>
                  <a:effectLst/>
                  <a:latin typeface="+mn-lt"/>
                  <a:ea typeface="+mn-ea"/>
                  <a:cs typeface="+mn-cs"/>
                </a:rPr>
                <a:t>" </a:t>
              </a:r>
              <a:r>
                <a:rPr lang="pt-BR" sz="1800" b="1" i="0">
                  <a:solidFill>
                    <a:schemeClr val="tx1"/>
                  </a:solidFill>
                  <a:effectLst/>
                  <a:latin typeface="Cambria Math" panose="02040503050406030204" pitchFamily="18" charset="0"/>
                  <a:ea typeface="+mn-ea"/>
                  <a:cs typeface="+mn-cs"/>
                </a:rPr>
                <a:t>" )(𝟏+𝑫𝑭))(𝟏+𝑳)</a:t>
              </a:r>
              <a:r>
                <a:rPr lang="pt-BR" sz="1800" b="1" i="0">
                  <a:solidFill>
                    <a:schemeClr val="tx1"/>
                  </a:solidFill>
                  <a:effectLst/>
                  <a:latin typeface="+mn-lt"/>
                  <a:ea typeface="+mn-ea"/>
                  <a:cs typeface="+mn-cs"/>
                </a:rPr>
                <a:t>" </a:t>
              </a:r>
              <a:r>
                <a:rPr lang="pt-BR" sz="1800" b="1" i="0">
                  <a:solidFill>
                    <a:schemeClr val="tx1"/>
                  </a:solidFill>
                  <a:effectLst/>
                  <a:latin typeface="Cambria Math" panose="02040503050406030204" pitchFamily="18" charset="0"/>
                  <a:ea typeface="+mn-ea"/>
                  <a:cs typeface="+mn-cs"/>
                </a:rPr>
                <a:t>" /((𝟏−𝑰) ) "</a:t>
              </a:r>
              <a:r>
                <a:rPr lang="pt-BR" sz="1800" b="1" i="0">
                  <a:effectLst/>
                </a:rPr>
                <a:t> </a:t>
              </a:r>
              <a:r>
                <a:rPr lang="pt-BR" sz="1800" b="1" i="0">
                  <a:effectLst/>
                  <a:latin typeface="Cambria Math" panose="02040503050406030204" pitchFamily="18" charset="0"/>
                </a:rPr>
                <a:t>" ⌋</a:t>
              </a:r>
              <a:r>
                <a:rPr lang="pt-BR" sz="1800" b="1" i="1"/>
                <a:t>-1</a:t>
              </a:r>
            </a:p>
          </xdr:txBody>
        </xdr:sp>
      </mc:Fallback>
    </mc:AlternateContent>
    <xdr:clientData/>
  </xdr:oneCellAnchor>
  <mc:AlternateContent xmlns:mc="http://schemas.openxmlformats.org/markup-compatibility/2006">
    <mc:Choice xmlns:a14="http://schemas.microsoft.com/office/drawing/2010/main" Requires="a14">
      <xdr:twoCellAnchor editAs="oneCell">
        <xdr:from>
          <xdr:col>25</xdr:col>
          <xdr:colOff>581024</xdr:colOff>
          <xdr:row>0</xdr:row>
          <xdr:rowOff>47625</xdr:rowOff>
        </xdr:from>
        <xdr:to>
          <xdr:col>26</xdr:col>
          <xdr:colOff>452435</xdr:colOff>
          <xdr:row>0</xdr:row>
          <xdr:rowOff>676274</xdr:rowOff>
        </xdr:to>
        <xdr:pic>
          <xdr:nvPicPr>
            <xdr:cNvPr id="4" name="Imagem 3">
              <a:extLst>
                <a:ext uri="{FF2B5EF4-FFF2-40B4-BE49-F238E27FC236}">
                  <a16:creationId xmlns:a16="http://schemas.microsoft.com/office/drawing/2014/main" id="{7562BB19-0E40-4452-A4AF-2CE307D3942F}"/>
                </a:ext>
              </a:extLst>
            </xdr:cNvPr>
            <xdr:cNvPicPr>
              <a:picLocks noChangeAspect="1" noChangeArrowheads="1"/>
              <a:extLst>
                <a:ext uri="{84589F7E-364E-4C9E-8A38-B11213B215E9}">
                  <a14:cameraTool cellRange="IMAGEM_PREFEITURA" spid="_x0000_s31362"/>
                </a:ext>
              </a:extLst>
            </xdr:cNvPicPr>
          </xdr:nvPicPr>
          <xdr:blipFill>
            <a:blip xmlns:r="http://schemas.openxmlformats.org/officeDocument/2006/relationships" r:embed="rId1"/>
            <a:srcRect/>
            <a:stretch>
              <a:fillRect/>
            </a:stretch>
          </xdr:blipFill>
          <xdr:spPr bwMode="auto">
            <a:xfrm>
              <a:off x="8115299" y="47625"/>
              <a:ext cx="538161" cy="62864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843642</xdr:colOff>
          <xdr:row>0</xdr:row>
          <xdr:rowOff>40822</xdr:rowOff>
        </xdr:from>
        <xdr:to>
          <xdr:col>7</xdr:col>
          <xdr:colOff>1673677</xdr:colOff>
          <xdr:row>0</xdr:row>
          <xdr:rowOff>1010422</xdr:rowOff>
        </xdr:to>
        <xdr:pic>
          <xdr:nvPicPr>
            <xdr:cNvPr id="4" name="Imagem 3">
              <a:extLst>
                <a:ext uri="{FF2B5EF4-FFF2-40B4-BE49-F238E27FC236}">
                  <a16:creationId xmlns:a16="http://schemas.microsoft.com/office/drawing/2014/main" id="{60C3941C-5DDE-44E5-9F7C-1A0C4FEE0E78}"/>
                </a:ext>
              </a:extLst>
            </xdr:cNvPr>
            <xdr:cNvPicPr>
              <a:picLocks noChangeAspect="1" noChangeArrowheads="1"/>
              <a:extLst>
                <a:ext uri="{84589F7E-364E-4C9E-8A38-B11213B215E9}">
                  <a14:cameraTool cellRange="IMAGEM_PREFEITURA" spid="_x0000_s22405"/>
                </a:ext>
              </a:extLst>
            </xdr:cNvPicPr>
          </xdr:nvPicPr>
          <xdr:blipFill>
            <a:blip xmlns:r="http://schemas.openxmlformats.org/officeDocument/2006/relationships" r:embed="rId1"/>
            <a:srcRect/>
            <a:stretch>
              <a:fillRect/>
            </a:stretch>
          </xdr:blipFill>
          <xdr:spPr bwMode="auto">
            <a:xfrm>
              <a:off x="13362213" y="40822"/>
              <a:ext cx="830035" cy="969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571501</xdr:colOff>
          <xdr:row>0</xdr:row>
          <xdr:rowOff>47626</xdr:rowOff>
        </xdr:from>
        <xdr:to>
          <xdr:col>4</xdr:col>
          <xdr:colOff>1187161</xdr:colOff>
          <xdr:row>0</xdr:row>
          <xdr:rowOff>766806</xdr:rowOff>
        </xdr:to>
        <xdr:pic>
          <xdr:nvPicPr>
            <xdr:cNvPr id="3" name="Imagem 2">
              <a:extLst>
                <a:ext uri="{FF2B5EF4-FFF2-40B4-BE49-F238E27FC236}">
                  <a16:creationId xmlns:a16="http://schemas.microsoft.com/office/drawing/2014/main" id="{65593755-3D8B-4128-B803-12D83D7B769F}"/>
                </a:ext>
              </a:extLst>
            </xdr:cNvPr>
            <xdr:cNvPicPr>
              <a:picLocks noChangeAspect="1" noChangeArrowheads="1"/>
              <a:extLst>
                <a:ext uri="{84589F7E-364E-4C9E-8A38-B11213B215E9}">
                  <a14:cameraTool cellRange="IMAGEM_PREFEITURA" spid="_x0000_s27386"/>
                </a:ext>
              </a:extLst>
            </xdr:cNvPicPr>
          </xdr:nvPicPr>
          <xdr:blipFill>
            <a:blip xmlns:r="http://schemas.openxmlformats.org/officeDocument/2006/relationships" r:embed="rId1"/>
            <a:srcRect/>
            <a:stretch>
              <a:fillRect/>
            </a:stretch>
          </xdr:blipFill>
          <xdr:spPr bwMode="auto">
            <a:xfrm>
              <a:off x="10020301" y="47626"/>
              <a:ext cx="615660" cy="71918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410935</xdr:colOff>
          <xdr:row>0</xdr:row>
          <xdr:rowOff>38099</xdr:rowOff>
        </xdr:from>
        <xdr:to>
          <xdr:col>9</xdr:col>
          <xdr:colOff>1333499</xdr:colOff>
          <xdr:row>0</xdr:row>
          <xdr:rowOff>1115786</xdr:rowOff>
        </xdr:to>
        <xdr:pic>
          <xdr:nvPicPr>
            <xdr:cNvPr id="3" name="Imagem 2">
              <a:extLst>
                <a:ext uri="{FF2B5EF4-FFF2-40B4-BE49-F238E27FC236}">
                  <a16:creationId xmlns:a16="http://schemas.microsoft.com/office/drawing/2014/main" id="{94D65991-6311-400E-8E40-4C22ED7BF9B0}"/>
                </a:ext>
              </a:extLst>
            </xdr:cNvPr>
            <xdr:cNvPicPr>
              <a:picLocks noChangeAspect="1" noChangeArrowheads="1"/>
              <a:extLst>
                <a:ext uri="{84589F7E-364E-4C9E-8A38-B11213B215E9}">
                  <a14:cameraTool cellRange="IMAGEM_PREFEITURA" spid="_x0000_s33383"/>
                </a:ext>
              </a:extLst>
            </xdr:cNvPicPr>
          </xdr:nvPicPr>
          <xdr:blipFill>
            <a:blip xmlns:r="http://schemas.openxmlformats.org/officeDocument/2006/relationships" r:embed="rId1"/>
            <a:srcRect/>
            <a:stretch>
              <a:fillRect/>
            </a:stretch>
          </xdr:blipFill>
          <xdr:spPr bwMode="auto">
            <a:xfrm>
              <a:off x="14099721" y="38099"/>
              <a:ext cx="922564" cy="107768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672874</xdr:colOff>
          <xdr:row>0</xdr:row>
          <xdr:rowOff>78550</xdr:rowOff>
        </xdr:from>
        <xdr:to>
          <xdr:col>10</xdr:col>
          <xdr:colOff>1490601</xdr:colOff>
          <xdr:row>0</xdr:row>
          <xdr:rowOff>1072514</xdr:rowOff>
        </xdr:to>
        <xdr:pic>
          <xdr:nvPicPr>
            <xdr:cNvPr id="2" name="Imagem 1">
              <a:extLst>
                <a:ext uri="{FF2B5EF4-FFF2-40B4-BE49-F238E27FC236}">
                  <a16:creationId xmlns:a16="http://schemas.microsoft.com/office/drawing/2014/main" id="{97A169AF-E98D-4181-81B3-69FC62008FA4}"/>
                </a:ext>
              </a:extLst>
            </xdr:cNvPr>
            <xdr:cNvPicPr>
              <a:picLocks noChangeAspect="1" noChangeArrowheads="1"/>
              <a:extLst>
                <a:ext uri="{84589F7E-364E-4C9E-8A38-B11213B215E9}">
                  <a14:cameraTool cellRange="IMAGEM_PREFEITURA" spid="_x0000_s50185"/>
                </a:ext>
              </a:extLst>
            </xdr:cNvPicPr>
          </xdr:nvPicPr>
          <xdr:blipFill>
            <a:blip xmlns:r="http://schemas.openxmlformats.org/officeDocument/2006/relationships" r:embed="rId1"/>
            <a:srcRect/>
            <a:stretch>
              <a:fillRect/>
            </a:stretch>
          </xdr:blipFill>
          <xdr:spPr bwMode="auto">
            <a:xfrm>
              <a:off x="19601647" y="78550"/>
              <a:ext cx="817727" cy="99396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indows\Desktop\PLN_EXE_ORC_TJMMG_CP_0101_REV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indows\Documents\OR&#199;AMENTOS%20QUADOO\4.%20OR&#199;AMENTO%20TJMMG\3.%20Or&#231;amento\QUADOO_FACC_LABORAT&#211;RIO_ORC_N&#195;O%20DESONERADA_0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indows\Documents\OR&#199;AMENTOS%20QUADOO\4.%20OR&#199;AMENTO%20TJMMG\4.%20Or&#231;amento\OBSOLE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Windows\Documents\OR&#199;AMENTOS%20QUADOO\4.%20OR&#199;AMENTO%20TJMMG\4.%20Or&#231;amento\REV02\N&#227;o%20Desonerada\QUADOO_TJMMG_LABORAT&#211;RIO_ORC_N&#195;O%20DESONERADA_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Windows\Documents\OR&#199;AMENTOS%20QUADOO\4.%20OR&#199;AMENTO%20TJMMG\4.%20Or&#231;amento\REV02\QUADOO_TJMMG_LABORAT&#211;RIO_ORC_DESONERADA_02%20copi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Windows\Documents\OR&#199;AMENTOS%20QUADOO\4.%20OR&#199;AMENTO%20TJMMG\1a%20ETAPA\4.%20Or&#231;amento\REV02\N&#227;o%20Desonerada\QUADOO_TJMMG_LABORAT&#211;RIO_ORC_N&#195;O%20DESONERADA_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Memorial"/>
      <sheetName val="Anotações"/>
      <sheetName val="Resumo"/>
      <sheetName val="Orçamento"/>
      <sheetName val="Curva ABC"/>
      <sheetName val="Cronograma"/>
      <sheetName val="BDI"/>
      <sheetName val="Composições"/>
      <sheetName val="Cotação"/>
      <sheetName val="Suporte"/>
      <sheetName val="Imagens"/>
      <sheetName val="Banco_Servico"/>
      <sheetName val="Planilha5"/>
      <sheetName val="SETOP PREDIAL"/>
      <sheetName val="Planilha6"/>
      <sheetName val="SETOP INFRA"/>
      <sheetName val="Banco_Insumo"/>
      <sheetName val="Curva_Servico"/>
    </sheetNames>
    <sheetDataSet>
      <sheetData sheetId="0"/>
      <sheetData sheetId="1"/>
      <sheetData sheetId="2"/>
      <sheetData sheetId="3">
        <row r="1">
          <cell r="N1" t="str">
            <v>NÃO DESONERADA</v>
          </cell>
        </row>
        <row r="2">
          <cell r="B2" t="str">
            <v>TRIBUNAL DE JUSTIÇA MILITAR DE MINAS GERAIS</v>
          </cell>
        </row>
        <row r="3">
          <cell r="B3" t="str">
            <v>OBJETIVA PROJETOS E SERVIÇOS LTDA.</v>
          </cell>
        </row>
      </sheetData>
      <sheetData sheetId="4"/>
      <sheetData sheetId="5"/>
      <sheetData sheetId="6"/>
      <sheetData sheetId="7"/>
      <sheetData sheetId="8"/>
      <sheetData sheetId="9"/>
      <sheetData sheetId="10"/>
      <sheetData sheetId="11">
        <row r="1">
          <cell r="A1" t="str">
            <v>PROJETA CONSULTORIA E SERVIÇOS LTDA.</v>
          </cell>
        </row>
        <row r="2">
          <cell r="A2" t="str">
            <v>OBJETIVA PROJETOS E SERVIÇOS LTDA.</v>
          </cell>
        </row>
        <row r="3">
          <cell r="A3" t="str">
            <v>PLATOR PROJETOS E SERVIÇOS AMBIENTAIS LTDA.</v>
          </cell>
        </row>
        <row r="4">
          <cell r="A4" t="str">
            <v>CONSÓRCIO PAS</v>
          </cell>
        </row>
        <row r="5">
          <cell r="A5" t="str">
            <v>CONSÓRCIO PITÁGORAS</v>
          </cell>
        </row>
        <row r="6">
          <cell r="A6" t="str">
            <v>CONSÓRCIO OPUS PROJETOS</v>
          </cell>
        </row>
        <row r="7">
          <cell r="A7" t="str">
            <v>CONSÓRCIO MINAS PROJETOS</v>
          </cell>
        </row>
        <row r="17">
          <cell r="G17" t="str">
            <v>PREFEITURA MUNICIPAL DE ALFENAS - MG</v>
          </cell>
        </row>
        <row r="18">
          <cell r="G18" t="str">
            <v>PREFEITURA MUNICIPAL DE ALMENARA -MG</v>
          </cell>
        </row>
        <row r="19">
          <cell r="G19" t="str">
            <v>PREFEITURA MUNICIPAL DE ALVORADA DE MINAS - MG</v>
          </cell>
        </row>
        <row r="20">
          <cell r="G20" t="str">
            <v>PREFEITURA MUNICPAL DE ANAPOLIS - MG</v>
          </cell>
        </row>
        <row r="21">
          <cell r="G21" t="str">
            <v>PREFEITURA MUNICIPAL DE ARAGUARI - MG</v>
          </cell>
        </row>
        <row r="22">
          <cell r="G22" t="str">
            <v>PREFEITURA MUNICIPAL DE ARAXÁ- MG</v>
          </cell>
        </row>
        <row r="23">
          <cell r="G23" t="str">
            <v>PREFEITURA MUNICIPAL DE BARÃO DE COCAIS - MG</v>
          </cell>
        </row>
        <row r="24">
          <cell r="G24" t="str">
            <v>PREFEITURA MUNICIPAL DE BELA VISTA DE MINAS-MG</v>
          </cell>
        </row>
        <row r="25">
          <cell r="G25" t="str">
            <v>PREFEITURA MUNICIPAL DE BELO VALE - MG</v>
          </cell>
        </row>
        <row r="26">
          <cell r="G26" t="str">
            <v>PREFEITURA MUNICIPAL DE BOA ESPERANÇA- MG</v>
          </cell>
        </row>
        <row r="27">
          <cell r="G27" t="str">
            <v>PREFEITURA MUNICIPAL DE BOM DESPACHO - MG</v>
          </cell>
        </row>
        <row r="28">
          <cell r="G28" t="str">
            <v>PREFEITURA MUNICIPAL DE BONFIM - MG</v>
          </cell>
        </row>
        <row r="29">
          <cell r="G29" t="str">
            <v>CAMARA MUNICIPAL DE BRUMADINHO - MG</v>
          </cell>
        </row>
        <row r="30">
          <cell r="G30" t="str">
            <v>PREFEITURA MUNICIPAL DE CAMPANHA-MG</v>
          </cell>
        </row>
        <row r="31">
          <cell r="G31" t="str">
            <v xml:space="preserve">PREFEITURA MUNICPAL DE CAMPOS ALTOS -MG </v>
          </cell>
        </row>
        <row r="32">
          <cell r="G32" t="str">
            <v>CAEMA - MA</v>
          </cell>
        </row>
        <row r="33">
          <cell r="G33" t="str">
            <v>CEASA - MG</v>
          </cell>
        </row>
        <row r="34">
          <cell r="G34" t="str">
            <v>CAMARA MUNICIPAL DE BRUMADINHO - MG</v>
          </cell>
        </row>
        <row r="35">
          <cell r="G35" t="str">
            <v>CODEMGE</v>
          </cell>
        </row>
        <row r="36">
          <cell r="G36" t="str">
            <v>PREFEITURA MUNICIPAL DE CARMÓPOLIS DE MINAS - MG</v>
          </cell>
        </row>
        <row r="37">
          <cell r="G37" t="str">
            <v xml:space="preserve">PREFEITURA MUNICIPAL DE CARVOLHOPOLIS- MG </v>
          </cell>
        </row>
        <row r="38">
          <cell r="G38" t="str">
            <v>PREFEITURA MUNICIPAL DE CONCEIÇÃO DO MATO DENTRO - MG</v>
          </cell>
        </row>
        <row r="39">
          <cell r="G39" t="str">
            <v>PREFEITURA MUNICPAL DE CACHOEIRA DA PRATA- MG</v>
          </cell>
        </row>
        <row r="40">
          <cell r="G40" t="str">
            <v>PREFEITURA MUNICPAL DE CONCEIÇÃO DO PARÁ-MG</v>
          </cell>
        </row>
        <row r="41">
          <cell r="G41" t="str">
            <v>PREFEITURA MUNICIPAL DE CONSELHEIRO LAFAIETE-MG</v>
          </cell>
        </row>
        <row r="42">
          <cell r="G42" t="str">
            <v>PREFEITURA MUNICIPAL DE CONGONHAS - MG</v>
          </cell>
        </row>
        <row r="43">
          <cell r="G43" t="str">
            <v>DEPARTAMENTO DE EDIFICAÇÕES E DE RODOVIAS DO ESPIRITO SANTO DER/ES</v>
          </cell>
        </row>
        <row r="44">
          <cell r="G44" t="str">
            <v>DEER - MG</v>
          </cell>
        </row>
        <row r="45">
          <cell r="G45" t="str">
            <v>PREFEITURA MUNICIPAL DE DOM JOAQUIM - MG</v>
          </cell>
        </row>
        <row r="46">
          <cell r="G46" t="str">
            <v>PREFEITURA MUNICIPAL DE ENTRE RIOS DE MINAS - MG</v>
          </cell>
        </row>
        <row r="47">
          <cell r="G47" t="str">
            <v>PREFEITURA MUNICIPAL DE ELÓI MENDES-MG</v>
          </cell>
        </row>
        <row r="48">
          <cell r="G48" t="str">
            <v>PREFEITURA MUNICIPAL DE FERROS - MG</v>
          </cell>
        </row>
        <row r="49">
          <cell r="G49" t="str">
            <v>INSTITUTO FEDERAL DE MINAS GERAIS - SUDESTE</v>
          </cell>
        </row>
        <row r="50">
          <cell r="G50" t="str">
            <v>INSTITUTO FEDERAL DE MINAS GERAIS</v>
          </cell>
        </row>
        <row r="51">
          <cell r="G51" t="str">
            <v xml:space="preserve">PREFEITURA MUNICIPAL DE GOIANIA </v>
          </cell>
        </row>
        <row r="52">
          <cell r="G52" t="str">
            <v>PREFEITURA MUNICIPAL DE GUANHÃES-MG</v>
          </cell>
        </row>
        <row r="53">
          <cell r="G53" t="str">
            <v>PREFEITURA MUNICIPAL DE GUIMARÂNIA-MG</v>
          </cell>
        </row>
        <row r="54">
          <cell r="G54" t="str">
            <v>PREFEITURA MUNICIPAL DE ITAPEMIRIM-MG</v>
          </cell>
        </row>
        <row r="55">
          <cell r="G55" t="str">
            <v>PREFEITURA MUNICIPAL DE ITAGUARA-MG</v>
          </cell>
        </row>
        <row r="56">
          <cell r="G56" t="str">
            <v>PREFEITURA MUNICIPAL DE ILICÍNIA-MG</v>
          </cell>
        </row>
        <row r="57">
          <cell r="G57" t="str">
            <v>PREFEITURA MUNICIPAL DE ITUMIRIM-MG</v>
          </cell>
        </row>
        <row r="58">
          <cell r="G58" t="str">
            <v>PREFEITURA MUNICIPAL DE IGARAPÉ - MG</v>
          </cell>
        </row>
        <row r="59">
          <cell r="G59" t="str">
            <v>PREFEITURA MUNICIPAL DE ILHÉUS - BA</v>
          </cell>
        </row>
        <row r="60">
          <cell r="G60" t="str">
            <v>PREFEITURA MUNICIPAL DE ITATIAIUÇU - MG</v>
          </cell>
        </row>
        <row r="61">
          <cell r="G61" t="str">
            <v>PREFEITURA MUNICIPAL DE JABOTICATUBAS - MG</v>
          </cell>
        </row>
        <row r="62">
          <cell r="G62" t="str">
            <v>PREFEITURA MUNICIPAL DE JOÃO MONLEVADE-MG</v>
          </cell>
        </row>
        <row r="63">
          <cell r="G63" t="str">
            <v>PREFEITURA MUNICIPAL DE LAGOA GRANDE</v>
          </cell>
        </row>
        <row r="64">
          <cell r="G64" t="str">
            <v>PREFEITURA MUNICIPAL DE LAGOA SANTA - MG</v>
          </cell>
        </row>
        <row r="65">
          <cell r="G65" t="str">
            <v>PREFEITURA MUNICIPAL DE MARIANA - MG</v>
          </cell>
        </row>
        <row r="66">
          <cell r="G66" t="str">
            <v>PREFEITURA MUNICIPAL DE MACHADO-MG</v>
          </cell>
        </row>
        <row r="67">
          <cell r="G67" t="str">
            <v>PREFEITURA MUNICIPAL DE MÁRIO CAMPOS - MG</v>
          </cell>
        </row>
        <row r="68">
          <cell r="G68" t="str">
            <v>PREFEITURA MUNICIPAL DE MARTINHO CAMPOS-MG</v>
          </cell>
        </row>
        <row r="69">
          <cell r="G69" t="str">
            <v>PREFEITURA MUNICIPAL DE MATEUS LEME - MG</v>
          </cell>
        </row>
        <row r="70">
          <cell r="G70" t="str">
            <v>PREFEITURA MUNICIPAL DE MOEMA-MG</v>
          </cell>
        </row>
        <row r="71">
          <cell r="G71" t="str">
            <v>PREFEITURA MUNICIPAL DE MONSENHOR PAULO - MG</v>
          </cell>
        </row>
        <row r="72">
          <cell r="G72" t="str">
            <v>PREFEITURA MUNICIPAL DE OURO BRANCO - MG</v>
          </cell>
        </row>
        <row r="73">
          <cell r="G73" t="str">
            <v>PREFEITURA MUNICIPAL DE OURO PRETO - MG</v>
          </cell>
        </row>
        <row r="74">
          <cell r="G74" t="str">
            <v>PREFEITURA MUNICIPAL DE PARAGUAÇU-MG</v>
          </cell>
        </row>
        <row r="75">
          <cell r="G75" t="str">
            <v>PREFEITURA MUNICIPAL DE PIEDADE DOS GERAIS - MG</v>
          </cell>
        </row>
        <row r="76">
          <cell r="G76" t="str">
            <v>PREFEITURA MUNICIPAL DE PARACATU - MG</v>
          </cell>
        </row>
        <row r="77">
          <cell r="G77" t="str">
            <v>PREFEITURA MUNICIPAL DE PATOS DE MINAS - MG</v>
          </cell>
        </row>
        <row r="78">
          <cell r="G78" t="str">
            <v>PREFEITURA MUNICIPAL DE PERDÕES-MG</v>
          </cell>
        </row>
        <row r="79">
          <cell r="G79" t="str">
            <v>PREFEITURA MUNICIPAL DE POÇO FUNDO -MG</v>
          </cell>
        </row>
        <row r="80">
          <cell r="G80" t="str">
            <v>POLÍCIA MILITAR DE MINAS GERAIS</v>
          </cell>
        </row>
        <row r="81">
          <cell r="G81" t="str">
            <v>PREFEITURA MUNICIPAL DE RIO VERMELHO-MG</v>
          </cell>
        </row>
        <row r="82">
          <cell r="G82" t="str">
            <v>PREFEITURA MUNICIPAL DE RIBEIRÃO DAS NEVES-MG</v>
          </cell>
        </row>
        <row r="83">
          <cell r="G83" t="str">
            <v>PREFEITURA MUNICIPAL DE RIO BANANAL - ES</v>
          </cell>
        </row>
        <row r="84">
          <cell r="G84" t="str">
            <v>PREFEITURA MUNICIPAL DE SANTA BÁRBARA - MG</v>
          </cell>
        </row>
        <row r="85">
          <cell r="G85" t="str">
            <v>PREFEITURA MUNICIPAL DE SÃO JOAQUIM DE BICAS - MG</v>
          </cell>
        </row>
        <row r="86">
          <cell r="G86" t="str">
            <v>PREFEITURA MUNICIPAL DE SÃO GONÇALO DO RIO ABAIXO-MG</v>
          </cell>
        </row>
        <row r="87">
          <cell r="G87" t="str">
            <v>PREFEITURA MUNICIPAL DE SÃO SEBASTIÃO DO OESTE-MG</v>
          </cell>
        </row>
        <row r="88">
          <cell r="G88" t="str">
            <v>PREFEITURA MUNICIPAL DE SÃO JOSÉ DA LAPA - MG</v>
          </cell>
        </row>
        <row r="89">
          <cell r="G89" t="str">
            <v>PREFEITURA MUNICIPAL DE SÃO LUÍS - MA</v>
          </cell>
        </row>
        <row r="90">
          <cell r="G90" t="str">
            <v>PREFEITURA MUNICIPAL DE SARZEDO - MG</v>
          </cell>
        </row>
        <row r="91">
          <cell r="G91" t="str">
            <v>PREFEITURA MUNICIPAL DE SERRA - ES</v>
          </cell>
        </row>
        <row r="92">
          <cell r="G92" t="str">
            <v>PREFEITURA MUNICIPAL DE SERRANIA - MG</v>
          </cell>
        </row>
        <row r="93">
          <cell r="G93" t="str">
            <v>PREFEITURA MUNICIPAL DE SERRO - MG</v>
          </cell>
        </row>
        <row r="94">
          <cell r="G94" t="str">
            <v>PREFEITURA MUNICIPAL DE SETE LAGOAS - MG</v>
          </cell>
        </row>
        <row r="95">
          <cell r="G95" t="str">
            <v>SECRETARIA DE SEGURANÇA PÚBLICA DO ESPÍRITO SANTO</v>
          </cell>
        </row>
        <row r="96">
          <cell r="G96" t="str">
            <v>SEST SENAT</v>
          </cell>
        </row>
        <row r="97">
          <cell r="G97" t="str">
            <v>PREFEITURA MUNICIPAL DE TRÊS PONTAS-MG</v>
          </cell>
        </row>
        <row r="98">
          <cell r="G98" t="str">
            <v>TRIBUNAL DE JUSTIÇA MILITAR DE MINAS GERAIS</v>
          </cell>
        </row>
        <row r="99">
          <cell r="G99" t="str">
            <v>TRIBUNAL DE JUSTIÇA DE MINAS GERAIS</v>
          </cell>
        </row>
        <row r="100">
          <cell r="G100" t="str">
            <v>PREFEITURA MUNICIPAL DE UBERABA-MG</v>
          </cell>
        </row>
        <row r="101">
          <cell r="G101" t="str">
            <v>PREFEITURA MUNICIPAL DE VESPASIANO - MG</v>
          </cell>
        </row>
        <row r="102">
          <cell r="G102" t="str">
            <v>PREFEITURA MUNICIPAL DE VITÓRIA - ES</v>
          </cell>
        </row>
        <row r="103">
          <cell r="G103" t="str">
            <v>PREFEITURA MUNICIPAL DE RIO ACIMA - MG</v>
          </cell>
        </row>
      </sheetData>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Memorial"/>
      <sheetName val="Anotações"/>
      <sheetName val="Resumo"/>
      <sheetName val="Orçamento"/>
      <sheetName val="Curva ABC"/>
      <sheetName val="Cronograma"/>
      <sheetName val="BDI"/>
      <sheetName val="Composições"/>
      <sheetName val="Cotação"/>
      <sheetName val="Suporte"/>
      <sheetName val="Imagens"/>
      <sheetName val="Banco_Servico"/>
      <sheetName val="Planilha5"/>
      <sheetName val="SETOP PREDIAL"/>
      <sheetName val="Planilha6"/>
      <sheetName val="SETOP INFRA"/>
      <sheetName val="Banco_Insumo"/>
      <sheetName val="Curva_Servico"/>
      <sheetName val="QUADOO_FACC_LABORATÓRIO_ORC_NÃO"/>
    </sheetNames>
    <sheetDataSet>
      <sheetData sheetId="0" refreshError="1"/>
      <sheetData sheetId="1" refreshError="1"/>
      <sheetData sheetId="2" refreshError="1"/>
      <sheetData sheetId="3" refreshError="1">
        <row r="1">
          <cell r="N1" t="str">
            <v>NÃO DESONERADA</v>
          </cell>
        </row>
        <row r="2">
          <cell r="B2" t="str">
            <v>TRIBUNAL DE JUSTIÇA MILITAR DE MINAS GERAIS</v>
          </cell>
          <cell r="C2" t="str">
            <v>PLANILHA MODELO:</v>
          </cell>
        </row>
        <row r="3">
          <cell r="C3" t="str">
            <v>NÃO DESONERADA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PROJETA CONSULTORIA E SERVIÇOS LTDA.</v>
          </cell>
        </row>
        <row r="17">
          <cell r="G17" t="str">
            <v>PREFEITURA MUNICIPAL DE ALFENAS - MG</v>
          </cell>
        </row>
        <row r="18">
          <cell r="G18" t="str">
            <v>PREFEITURA MUNICIPAL DE ALMENARA -MG</v>
          </cell>
        </row>
        <row r="19">
          <cell r="G19" t="str">
            <v>PREFEITURA MUNICIPAL DE ALVORADA DE MINAS - MG</v>
          </cell>
        </row>
        <row r="20">
          <cell r="G20" t="str">
            <v>PREFEITURA MUNICPAL DE ANAPOLIS - MG</v>
          </cell>
        </row>
        <row r="21">
          <cell r="G21" t="str">
            <v>PREFEITURA MUNICIPAL DE ARAGUARI - MG</v>
          </cell>
        </row>
        <row r="22">
          <cell r="G22" t="str">
            <v>PREFEITURA MUNICIPAL DE ARAXÁ- MG</v>
          </cell>
        </row>
        <row r="23">
          <cell r="G23" t="str">
            <v>PREFEITURA MUNICIPAL DE BARÃO DE COCAIS - MG</v>
          </cell>
        </row>
        <row r="24">
          <cell r="G24" t="str">
            <v>PREFEITURA MUNICIPAL DE BELA VISTA DE MINAS-MG</v>
          </cell>
        </row>
        <row r="25">
          <cell r="G25" t="str">
            <v>PREFEITURA MUNICIPAL DE BELO VALE - MG</v>
          </cell>
        </row>
        <row r="26">
          <cell r="G26" t="str">
            <v>PREFEITURA MUNICIPAL DE BOA ESPERANÇA- MG</v>
          </cell>
        </row>
        <row r="27">
          <cell r="G27" t="str">
            <v>PREFEITURA MUNICIPAL DE BOM DESPACHO - MG</v>
          </cell>
        </row>
        <row r="28">
          <cell r="G28" t="str">
            <v>PREFEITURA MUNICIPAL DE BONFIM - MG</v>
          </cell>
        </row>
        <row r="29">
          <cell r="G29" t="str">
            <v>CAMARA MUNICIPAL DE BRUMADINHO - MG</v>
          </cell>
        </row>
        <row r="30">
          <cell r="G30" t="str">
            <v>PREFEITURA MUNICIPAL DE CAMPANHA-MG</v>
          </cell>
        </row>
        <row r="31">
          <cell r="G31" t="str">
            <v xml:space="preserve">PREFEITURA MUNICPAL DE CAMPOS ALTOS -MG </v>
          </cell>
        </row>
        <row r="32">
          <cell r="G32" t="str">
            <v>CAEMA - MA</v>
          </cell>
        </row>
        <row r="33">
          <cell r="G33" t="str">
            <v>CEASA - MG</v>
          </cell>
        </row>
        <row r="34">
          <cell r="G34" t="str">
            <v>CAMARA MUNICIPAL DE BRUMADINHO - MG</v>
          </cell>
        </row>
        <row r="35">
          <cell r="G35" t="str">
            <v>CODEMGE</v>
          </cell>
        </row>
        <row r="36">
          <cell r="G36" t="str">
            <v>PREFEITURA MUNICIPAL DE CARMÓPOLIS DE MINAS - MG</v>
          </cell>
        </row>
        <row r="37">
          <cell r="G37" t="str">
            <v xml:space="preserve">PREFEITURA MUNICIPAL DE CARVOLHOPOLIS- MG </v>
          </cell>
        </row>
        <row r="38">
          <cell r="G38" t="str">
            <v>PREFEITURA MUNICIPAL DE CONCEIÇÃO DO MATO DENTRO - MG</v>
          </cell>
        </row>
        <row r="39">
          <cell r="G39" t="str">
            <v>PREFEITURA MUNICPAL DE CACHOEIRA DA PRATA- MG</v>
          </cell>
        </row>
        <row r="40">
          <cell r="G40" t="str">
            <v>PREFEITURA MUNICPAL DE CONCEIÇÃO DO PARÁ-MG</v>
          </cell>
        </row>
        <row r="41">
          <cell r="G41" t="str">
            <v>PREFEITURA MUNICIPAL DE CONSELHEIRO LAFAIETE-MG</v>
          </cell>
        </row>
        <row r="42">
          <cell r="G42" t="str">
            <v>PREFEITURA MUNICIPAL DE CONGONHAS - MG</v>
          </cell>
        </row>
        <row r="43">
          <cell r="G43" t="str">
            <v>DEPARTAMENTO DE EDIFICAÇÕES E DE RODOVIAS DO ESPIRITO SANTO DER/ES</v>
          </cell>
        </row>
        <row r="44">
          <cell r="G44" t="str">
            <v>DEER - MG</v>
          </cell>
        </row>
        <row r="45">
          <cell r="G45" t="str">
            <v>PREFEITURA MUNICIPAL DE DOM JOAQUIM - MG</v>
          </cell>
        </row>
        <row r="46">
          <cell r="G46" t="str">
            <v>PREFEITURA MUNICIPAL DE ENTRE RIOS DE MINAS - MG</v>
          </cell>
        </row>
        <row r="47">
          <cell r="G47" t="str">
            <v>PREFEITURA MUNICIPAL DE ELÓI MENDES-MG</v>
          </cell>
        </row>
        <row r="48">
          <cell r="G48" t="str">
            <v>PREFEITURA MUNICIPAL DE FERROS - MG</v>
          </cell>
        </row>
        <row r="49">
          <cell r="G49" t="str">
            <v>INSTITUTO FEDERAL DE MINAS GERAIS - SUDESTE</v>
          </cell>
        </row>
        <row r="50">
          <cell r="G50" t="str">
            <v>INSTITUTO FEDERAL DE MINAS GERAIS</v>
          </cell>
        </row>
        <row r="51">
          <cell r="G51" t="str">
            <v xml:space="preserve">PREFEITURA MUNICIPAL DE GOIANIA </v>
          </cell>
        </row>
        <row r="52">
          <cell r="G52" t="str">
            <v>PREFEITURA MUNICIPAL DE GUANHÃES-MG</v>
          </cell>
        </row>
        <row r="53">
          <cell r="G53" t="str">
            <v>PREFEITURA MUNICIPAL DE GUIMARÂNIA-MG</v>
          </cell>
        </row>
        <row r="54">
          <cell r="G54" t="str">
            <v>PREFEITURA MUNICIPAL DE ITAPEMIRIM-MG</v>
          </cell>
        </row>
        <row r="55">
          <cell r="G55" t="str">
            <v>PREFEITURA MUNICIPAL DE ITAGUARA-MG</v>
          </cell>
        </row>
        <row r="56">
          <cell r="G56" t="str">
            <v>PREFEITURA MUNICIPAL DE ILICÍNIA-MG</v>
          </cell>
        </row>
        <row r="57">
          <cell r="G57" t="str">
            <v>PREFEITURA MUNICIPAL DE ITUMIRIM-MG</v>
          </cell>
        </row>
        <row r="58">
          <cell r="G58" t="str">
            <v>PREFEITURA MUNICIPAL DE IGARAPÉ - MG</v>
          </cell>
        </row>
        <row r="59">
          <cell r="G59" t="str">
            <v>PREFEITURA MUNICIPAL DE ILHÉUS - BA</v>
          </cell>
        </row>
        <row r="60">
          <cell r="G60" t="str">
            <v>PREFEITURA MUNICIPAL DE ITATIAIUÇU - MG</v>
          </cell>
        </row>
        <row r="61">
          <cell r="G61" t="str">
            <v>PREFEITURA MUNICIPAL DE JABOTICATUBAS - MG</v>
          </cell>
        </row>
        <row r="62">
          <cell r="G62" t="str">
            <v>PREFEITURA MUNICIPAL DE JOÃO MONLEVADE-MG</v>
          </cell>
        </row>
        <row r="63">
          <cell r="G63" t="str">
            <v>PREFEITURA MUNICIPAL DE LAGOA GRANDE</v>
          </cell>
        </row>
        <row r="64">
          <cell r="G64" t="str">
            <v>PREFEITURA MUNICIPAL DE LAGOA SANTA - MG</v>
          </cell>
        </row>
        <row r="65">
          <cell r="G65" t="str">
            <v>PREFEITURA MUNICIPAL DE MARIANA - MG</v>
          </cell>
        </row>
        <row r="66">
          <cell r="G66" t="str">
            <v>PREFEITURA MUNICIPAL DE MACHADO-MG</v>
          </cell>
        </row>
        <row r="67">
          <cell r="G67" t="str">
            <v>PREFEITURA MUNICIPAL DE MÁRIO CAMPOS - MG</v>
          </cell>
        </row>
        <row r="68">
          <cell r="G68" t="str">
            <v>PREFEITURA MUNICIPAL DE MARTINHO CAMPOS-MG</v>
          </cell>
        </row>
        <row r="69">
          <cell r="G69" t="str">
            <v>PREFEITURA MUNICIPAL DE MATEUS LEME - MG</v>
          </cell>
        </row>
        <row r="70">
          <cell r="G70" t="str">
            <v>PREFEITURA MUNICIPAL DE MOEMA-MG</v>
          </cell>
        </row>
        <row r="71">
          <cell r="G71" t="str">
            <v>PREFEITURA MUNICIPAL DE MONSENHOR PAULO - MG</v>
          </cell>
        </row>
        <row r="72">
          <cell r="G72" t="str">
            <v>PREFEITURA MUNICIPAL DE OURO BRANCO - MG</v>
          </cell>
        </row>
        <row r="73">
          <cell r="G73" t="str">
            <v>PREFEITURA MUNICIPAL DE OURO PRETO - MG</v>
          </cell>
        </row>
        <row r="74">
          <cell r="G74" t="str">
            <v>PREFEITURA MUNICIPAL DE PARAGUAÇU-MG</v>
          </cell>
        </row>
        <row r="75">
          <cell r="G75" t="str">
            <v>PREFEITURA MUNICIPAL DE PIEDADE DOS GERAIS - MG</v>
          </cell>
        </row>
        <row r="76">
          <cell r="G76" t="str">
            <v>PREFEITURA MUNICIPAL DE PARACATU - MG</v>
          </cell>
        </row>
        <row r="77">
          <cell r="G77" t="str">
            <v>PREFEITURA MUNICIPAL DE PATOS DE MINAS - MG</v>
          </cell>
        </row>
        <row r="78">
          <cell r="G78" t="str">
            <v>PREFEITURA MUNICIPAL DE PERDÕES-MG</v>
          </cell>
        </row>
        <row r="79">
          <cell r="G79" t="str">
            <v>PREFEITURA MUNICIPAL DE POÇO FUNDO -MG</v>
          </cell>
        </row>
        <row r="80">
          <cell r="G80" t="str">
            <v>POLÍCIA MILITAR DE MINAS GERAIS</v>
          </cell>
        </row>
        <row r="81">
          <cell r="G81" t="str">
            <v>PREFEITURA MUNICIPAL DE RIO VERMELHO-MG</v>
          </cell>
        </row>
        <row r="82">
          <cell r="G82" t="str">
            <v>PREFEITURA MUNICIPAL DE RIBEIRÃO DAS NEVES-MG</v>
          </cell>
        </row>
        <row r="83">
          <cell r="G83" t="str">
            <v>PREFEITURA MUNICIPAL DE RIO BANANAL - ES</v>
          </cell>
        </row>
        <row r="84">
          <cell r="G84" t="str">
            <v>PREFEITURA MUNICIPAL DE SANTA BÁRBARA - MG</v>
          </cell>
        </row>
        <row r="85">
          <cell r="G85" t="str">
            <v>PREFEITURA MUNICIPAL DE SÃO JOAQUIM DE BICAS - MG</v>
          </cell>
        </row>
        <row r="86">
          <cell r="G86" t="str">
            <v>PREFEITURA MUNICIPAL DE SÃO GONÇALO DO RIO ABAIXO-MG</v>
          </cell>
        </row>
        <row r="87">
          <cell r="G87" t="str">
            <v>PREFEITURA MUNICIPAL DE SÃO SEBASTIÃO DO OESTE-MG</v>
          </cell>
        </row>
        <row r="88">
          <cell r="G88" t="str">
            <v>PREFEITURA MUNICIPAL DE SÃO JOSÉ DA LAPA - MG</v>
          </cell>
        </row>
        <row r="89">
          <cell r="G89" t="str">
            <v>PREFEITURA MUNICIPAL DE SÃO LUÍS - MA</v>
          </cell>
        </row>
        <row r="90">
          <cell r="G90" t="str">
            <v>PREFEITURA MUNICIPAL DE SARZEDO - MG</v>
          </cell>
        </row>
        <row r="91">
          <cell r="G91" t="str">
            <v>PREFEITURA MUNICIPAL DE SERRA - ES</v>
          </cell>
        </row>
        <row r="92">
          <cell r="G92" t="str">
            <v>PREFEITURA MUNICIPAL DE SERRANIA - MG</v>
          </cell>
        </row>
        <row r="93">
          <cell r="G93" t="str">
            <v>PREFEITURA MUNICIPAL DE SERRO - MG</v>
          </cell>
        </row>
        <row r="94">
          <cell r="G94" t="str">
            <v>PREFEITURA MUNICIPAL DE SETE LAGOAS - MG</v>
          </cell>
        </row>
        <row r="95">
          <cell r="G95" t="str">
            <v>SECRETARIA DE SEGURANÇA PÚBLICA DO ESPÍRITO SANTO</v>
          </cell>
        </row>
        <row r="96">
          <cell r="G96" t="str">
            <v>SEST SENAT</v>
          </cell>
        </row>
        <row r="97">
          <cell r="G97" t="str">
            <v>PREFEITURA MUNICIPAL DE TRÊS PONTAS-MG</v>
          </cell>
        </row>
        <row r="98">
          <cell r="G98" t="str">
            <v>TRIBUNAL DE JUSTIÇA MILITAR DE MINAS GERAIS</v>
          </cell>
        </row>
        <row r="99">
          <cell r="G99" t="str">
            <v>TRIBUNAL DE JUSTIÇA DE MINAS GERAIS</v>
          </cell>
        </row>
        <row r="100">
          <cell r="G100" t="str">
            <v>PREFEITURA MUNICIPAL DE UBERABA-MG</v>
          </cell>
        </row>
        <row r="101">
          <cell r="G101" t="str">
            <v>PREFEITURA MUNICIPAL DE VESPASIANO - MG</v>
          </cell>
        </row>
        <row r="102">
          <cell r="G102" t="str">
            <v>PREFEITURA MUNICIPAL DE VITÓRIA - ES</v>
          </cell>
        </row>
        <row r="103">
          <cell r="G103" t="str">
            <v>PREFEITURA MUNICIPAL DE RIO ACIMA - MG</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Memorial"/>
      <sheetName val="Anotações"/>
      <sheetName val="Resumo"/>
      <sheetName val="Orçamento"/>
      <sheetName val="Curva ABC"/>
      <sheetName val="Cronograma"/>
      <sheetName val="BDI"/>
      <sheetName val="Composições"/>
      <sheetName val="Cotação"/>
      <sheetName val="Suporte"/>
      <sheetName val="Imagens"/>
      <sheetName val="Banco_Servico"/>
      <sheetName val="Planilha5"/>
      <sheetName val="SETOP PREDIAL"/>
      <sheetName val="Planilha6"/>
      <sheetName val="SETOP INFRA"/>
      <sheetName val="Banco_Insumo"/>
      <sheetName val="Curva_Servico"/>
    </sheetNames>
    <sheetDataSet>
      <sheetData sheetId="0"/>
      <sheetData sheetId="1"/>
      <sheetData sheetId="2"/>
      <sheetData sheetId="3"/>
      <sheetData sheetId="4">
        <row r="8">
          <cell r="AD8">
            <v>1</v>
          </cell>
        </row>
        <row r="22">
          <cell r="AD22">
            <v>2</v>
          </cell>
        </row>
        <row r="37">
          <cell r="AD37">
            <v>3</v>
          </cell>
        </row>
        <row r="71">
          <cell r="AD71">
            <v>4</v>
          </cell>
        </row>
        <row r="166">
          <cell r="AD166">
            <v>5</v>
          </cell>
        </row>
        <row r="206">
          <cell r="AD206">
            <v>6</v>
          </cell>
        </row>
        <row r="253">
          <cell r="AD253">
            <v>7</v>
          </cell>
        </row>
        <row r="291">
          <cell r="AD291">
            <v>8</v>
          </cell>
        </row>
        <row r="317">
          <cell r="AD317">
            <v>9</v>
          </cell>
        </row>
        <row r="342">
          <cell r="AD342">
            <v>10</v>
          </cell>
        </row>
        <row r="356">
          <cell r="AD356">
            <v>11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Orçamento "/>
      <sheetName val="Composições"/>
      <sheetName val="BDI"/>
      <sheetName val="Cotações"/>
      <sheetName val="Cronograma"/>
      <sheetName val="Curva ABC"/>
    </sheetNames>
    <sheetDataSet>
      <sheetData sheetId="0" refreshError="1"/>
      <sheetData sheetId="1" refreshError="1"/>
      <sheetData sheetId="2" refreshError="1"/>
      <sheetData sheetId="3" refreshError="1">
        <row r="21">
          <cell r="Z21">
            <v>0.22470000000000001</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Orçamento "/>
      <sheetName val="Composições"/>
      <sheetName val="BDI"/>
      <sheetName val="Cotações"/>
      <sheetName val="Cronograma"/>
      <sheetName val="Curva ABC"/>
    </sheetNames>
    <sheetDataSet>
      <sheetData sheetId="0"/>
      <sheetData sheetId="1">
        <row r="57">
          <cell r="A57" t="str">
            <v>5.10</v>
          </cell>
          <cell r="C57" t="str">
            <v xml:space="preserve">PRÓPRIO </v>
          </cell>
        </row>
      </sheetData>
      <sheetData sheetId="2">
        <row r="229">
          <cell r="H229">
            <v>3.24065</v>
          </cell>
        </row>
      </sheetData>
      <sheetData sheetId="3"/>
      <sheetData sheetId="4">
        <row r="278">
          <cell r="E278">
            <v>2.93</v>
          </cell>
        </row>
      </sheetData>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Orçamento "/>
      <sheetName val="Composições"/>
      <sheetName val="BDI"/>
      <sheetName val="Cotações"/>
      <sheetName val="Cronograma"/>
      <sheetName val="Curva ABC"/>
    </sheetNames>
    <sheetDataSet>
      <sheetData sheetId="0" refreshError="1"/>
      <sheetData sheetId="1" refreshError="1">
        <row r="157">
          <cell r="E157" t="str">
            <v>UN</v>
          </cell>
        </row>
        <row r="273">
          <cell r="E273" t="str">
            <v>m²</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0A858-67B1-4C89-A905-0A5E6BF44E67}">
  <dimension ref="A1:M69"/>
  <sheetViews>
    <sheetView tabSelected="1" workbookViewId="0">
      <selection sqref="A1:D1"/>
    </sheetView>
  </sheetViews>
  <sheetFormatPr defaultColWidth="9.140625" defaultRowHeight="18.75" customHeight="1" x14ac:dyDescent="0.25"/>
  <cols>
    <col min="1" max="1" width="19.7109375" style="368" bestFit="1" customWidth="1"/>
    <col min="2" max="2" width="79.42578125" style="369" customWidth="1"/>
    <col min="3" max="3" width="29.42578125" style="370" customWidth="1"/>
    <col min="4" max="4" width="20" style="237" customWidth="1"/>
    <col min="5" max="5" width="15" style="237" customWidth="1"/>
    <col min="6" max="6" width="11.140625" style="237" bestFit="1" customWidth="1"/>
    <col min="7" max="7" width="11.85546875" style="237" bestFit="1" customWidth="1"/>
    <col min="8" max="8" width="8.7109375" style="237" bestFit="1" customWidth="1"/>
    <col min="9" max="9" width="10" style="237" bestFit="1" customWidth="1"/>
    <col min="10" max="12" width="9.140625" style="237"/>
    <col min="13" max="13" width="0" style="237" hidden="1" customWidth="1"/>
    <col min="14" max="16384" width="9.140625" style="237"/>
  </cols>
  <sheetData>
    <row r="1" spans="1:13" s="335" customFormat="1" ht="60" customHeight="1" thickBot="1" x14ac:dyDescent="0.25">
      <c r="A1" s="428" t="s">
        <v>262</v>
      </c>
      <c r="B1" s="429"/>
      <c r="C1" s="429"/>
      <c r="D1" s="429"/>
      <c r="E1" s="334"/>
      <c r="M1" s="237" t="s">
        <v>251</v>
      </c>
    </row>
    <row r="2" spans="1:13" ht="16.5" customHeight="1" x14ac:dyDescent="0.25">
      <c r="A2" s="336" t="s">
        <v>110</v>
      </c>
      <c r="B2" s="337" t="s">
        <v>111</v>
      </c>
      <c r="C2" s="338" t="s">
        <v>252</v>
      </c>
      <c r="D2" s="339">
        <f>BDI!$Z$21</f>
        <v>0.22470000000000001</v>
      </c>
      <c r="E2" s="340"/>
      <c r="M2" s="237" t="s">
        <v>253</v>
      </c>
    </row>
    <row r="3" spans="1:13" ht="16.5" customHeight="1" x14ac:dyDescent="0.25">
      <c r="A3" s="341" t="s">
        <v>113</v>
      </c>
      <c r="B3" s="342" t="s">
        <v>114</v>
      </c>
      <c r="C3" s="343" t="s">
        <v>251</v>
      </c>
      <c r="D3" s="344" t="s">
        <v>1022</v>
      </c>
      <c r="E3" s="345"/>
    </row>
    <row r="4" spans="1:13" ht="16.5" customHeight="1" x14ac:dyDescent="0.25">
      <c r="A4" s="341" t="s">
        <v>115</v>
      </c>
      <c r="B4" s="346" t="s">
        <v>867</v>
      </c>
      <c r="C4" s="347" t="s">
        <v>254</v>
      </c>
      <c r="D4" s="430" t="s">
        <v>1023</v>
      </c>
      <c r="E4" s="431"/>
    </row>
    <row r="5" spans="1:13" ht="31.5" customHeight="1" thickBot="1" x14ac:dyDescent="0.3">
      <c r="A5" s="236" t="s">
        <v>255</v>
      </c>
      <c r="B5" s="348" t="s">
        <v>1085</v>
      </c>
      <c r="C5" s="349">
        <v>4</v>
      </c>
      <c r="D5" s="432"/>
      <c r="E5" s="433"/>
    </row>
    <row r="6" spans="1:13" s="35" customFormat="1" ht="5.25" customHeight="1" x14ac:dyDescent="0.25">
      <c r="A6" s="350"/>
      <c r="B6" s="351"/>
      <c r="C6" s="352"/>
      <c r="D6" s="353"/>
      <c r="E6" s="354"/>
    </row>
    <row r="7" spans="1:13" s="35" customFormat="1" ht="15" x14ac:dyDescent="0.25">
      <c r="A7" s="355">
        <f>[3]Orçamento!$AD$8</f>
        <v>1</v>
      </c>
      <c r="B7" s="356" t="str">
        <f>'Orçamento '!$D$10</f>
        <v>ADMINISTRAÇÃO LOCAL DA OBRA</v>
      </c>
      <c r="C7" s="34" t="str">
        <f>"TOTAL DO ITEM - "&amp;A7&amp;"      :"</f>
        <v>TOTAL DO ITEM - 1      :</v>
      </c>
      <c r="D7" s="357">
        <f>'Orçamento '!$J$10</f>
        <v>73099.293496999991</v>
      </c>
      <c r="E7" s="358">
        <f ca="1">D7/D64</f>
        <v>6.1404896476219779E-2</v>
      </c>
    </row>
    <row r="8" spans="1:13" ht="5.25" customHeight="1" x14ac:dyDescent="0.25">
      <c r="A8" s="350"/>
      <c r="B8" s="359"/>
      <c r="C8" s="359"/>
      <c r="D8" s="359"/>
      <c r="E8" s="354"/>
      <c r="F8" s="360"/>
    </row>
    <row r="9" spans="1:13" s="35" customFormat="1" ht="5.25" customHeight="1" x14ac:dyDescent="0.25">
      <c r="A9" s="350"/>
      <c r="B9" s="351"/>
      <c r="C9" s="351"/>
      <c r="D9" s="353"/>
      <c r="E9" s="354"/>
    </row>
    <row r="10" spans="1:13" s="35" customFormat="1" ht="15" x14ac:dyDescent="0.25">
      <c r="A10" s="355">
        <f>[3]Orçamento!$AD$22</f>
        <v>2</v>
      </c>
      <c r="B10" s="356" t="str">
        <f>'Orçamento '!$D$14</f>
        <v>REGULARIZAÇÃO E MOBILIZAÇÃO</v>
      </c>
      <c r="C10" s="34" t="str">
        <f>"TOTAL DO ITEM - "&amp;A10&amp;"      :"</f>
        <v>TOTAL DO ITEM - 2      :</v>
      </c>
      <c r="D10" s="357">
        <f ca="1">'Orçamento '!$J$14</f>
        <v>8767.6079339308508</v>
      </c>
      <c r="E10" s="358">
        <f ca="1">D10/D64</f>
        <v>7.364969369357887E-3</v>
      </c>
    </row>
    <row r="11" spans="1:13" ht="5.25" customHeight="1" x14ac:dyDescent="0.25">
      <c r="A11" s="350"/>
      <c r="B11" s="359"/>
      <c r="C11" s="359"/>
      <c r="D11" s="359"/>
      <c r="E11" s="354"/>
      <c r="F11" s="360"/>
    </row>
    <row r="12" spans="1:13" s="35" customFormat="1" ht="5.25" customHeight="1" x14ac:dyDescent="0.25">
      <c r="A12" s="350"/>
      <c r="B12" s="351"/>
      <c r="C12" s="351"/>
      <c r="D12" s="353"/>
      <c r="E12" s="354"/>
    </row>
    <row r="13" spans="1:13" s="35" customFormat="1" ht="15" x14ac:dyDescent="0.25">
      <c r="A13" s="355">
        <f>[3]Orçamento!$AD$37</f>
        <v>3</v>
      </c>
      <c r="B13" s="356" t="str">
        <f>'Orçamento '!$D$25</f>
        <v>DEMOLIÇÕES E REMOÇÕES</v>
      </c>
      <c r="C13" s="34" t="str">
        <f>"TOTAL DO ITEM - "&amp;A13&amp;"      :"</f>
        <v>TOTAL DO ITEM - 3      :</v>
      </c>
      <c r="D13" s="357">
        <f>'Orçamento '!$J$25</f>
        <v>16992.059564611369</v>
      </c>
      <c r="E13" s="358">
        <f ca="1">D13/D64</f>
        <v>1.4273676373158687E-2</v>
      </c>
    </row>
    <row r="14" spans="1:13" ht="5.25" customHeight="1" x14ac:dyDescent="0.25">
      <c r="A14" s="350"/>
      <c r="B14" s="359"/>
      <c r="C14" s="359"/>
      <c r="D14" s="359"/>
      <c r="E14" s="354"/>
      <c r="F14" s="360"/>
    </row>
    <row r="15" spans="1:13" s="35" customFormat="1" ht="5.25" customHeight="1" x14ac:dyDescent="0.25">
      <c r="A15" s="350"/>
      <c r="B15" s="351"/>
      <c r="C15" s="351"/>
      <c r="D15" s="353"/>
      <c r="E15" s="354"/>
    </row>
    <row r="16" spans="1:13" s="35" customFormat="1" ht="15" x14ac:dyDescent="0.25">
      <c r="A16" s="355">
        <f>[3]Orçamento!$AD$71</f>
        <v>4</v>
      </c>
      <c r="B16" s="356" t="str">
        <f>'Orçamento '!$D$38</f>
        <v>SERVIÇOS CIVIS</v>
      </c>
      <c r="C16" s="34" t="str">
        <f>"TOTAL DO ITEM - "&amp;A16&amp;"      :"</f>
        <v>TOTAL DO ITEM - 4      :</v>
      </c>
      <c r="D16" s="357">
        <f>'Orçamento '!$J$38</f>
        <v>17330.532395931205</v>
      </c>
      <c r="E16" s="358">
        <f ca="1">D16/D64</f>
        <v>1.4558000450354597E-2</v>
      </c>
    </row>
    <row r="17" spans="1:6" ht="5.25" customHeight="1" x14ac:dyDescent="0.25">
      <c r="A17" s="350"/>
      <c r="B17" s="359"/>
      <c r="C17" s="359"/>
      <c r="D17" s="359"/>
      <c r="E17" s="354"/>
      <c r="F17" s="360"/>
    </row>
    <row r="18" spans="1:6" s="35" customFormat="1" ht="5.25" customHeight="1" x14ac:dyDescent="0.25">
      <c r="A18" s="350"/>
      <c r="B18" s="351"/>
      <c r="C18" s="351"/>
      <c r="D18" s="353"/>
      <c r="E18" s="354"/>
    </row>
    <row r="19" spans="1:6" s="35" customFormat="1" ht="15" x14ac:dyDescent="0.25">
      <c r="A19" s="355">
        <f>[3]Orçamento!$AD$166</f>
        <v>5</v>
      </c>
      <c r="B19" s="356" t="str">
        <f>'Orçamento '!$D$43</f>
        <v>FORROS E FECHAMENTOS EM DRY-WALL</v>
      </c>
      <c r="C19" s="34" t="str">
        <f>"TOTAL DO ITEM - "&amp;A19&amp;"      :"</f>
        <v>TOTAL DO ITEM - 5      :</v>
      </c>
      <c r="D19" s="357">
        <f ca="1">'Orçamento '!$J$43</f>
        <v>130783.67645771461</v>
      </c>
      <c r="E19" s="358">
        <f ca="1">D19/D64</f>
        <v>0.1098609539091506</v>
      </c>
    </row>
    <row r="20" spans="1:6" ht="5.25" customHeight="1" x14ac:dyDescent="0.25">
      <c r="A20" s="350"/>
      <c r="B20" s="359"/>
      <c r="C20" s="359"/>
      <c r="D20" s="359"/>
      <c r="E20" s="354"/>
      <c r="F20" s="360"/>
    </row>
    <row r="21" spans="1:6" s="35" customFormat="1" ht="5.25" customHeight="1" x14ac:dyDescent="0.25">
      <c r="A21" s="350"/>
      <c r="B21" s="351"/>
      <c r="C21" s="351"/>
      <c r="D21" s="353"/>
      <c r="E21" s="354"/>
    </row>
    <row r="22" spans="1:6" s="35" customFormat="1" ht="15" x14ac:dyDescent="0.25">
      <c r="A22" s="355">
        <f>[3]Orçamento!$AD$206</f>
        <v>6</v>
      </c>
      <c r="B22" s="356" t="str">
        <f>'Orçamento '!$D$56</f>
        <v>REVESTIMENTOS E ROCHAS ORNAMENTAIS</v>
      </c>
      <c r="C22" s="34" t="str">
        <f>"TOTAL DO ITEM - "&amp;A22&amp;"      :"</f>
        <v>TOTAL DO ITEM - 6      :</v>
      </c>
      <c r="D22" s="357">
        <f ca="1">'Orçamento '!$J$56</f>
        <v>70165.779362677888</v>
      </c>
      <c r="E22" s="358">
        <f ca="1">D22/D64</f>
        <v>5.8940684811342764E-2</v>
      </c>
    </row>
    <row r="23" spans="1:6" ht="5.25" customHeight="1" x14ac:dyDescent="0.25">
      <c r="A23" s="350"/>
      <c r="B23" s="359"/>
      <c r="C23" s="359"/>
      <c r="D23" s="359"/>
      <c r="E23" s="354"/>
      <c r="F23" s="360"/>
    </row>
    <row r="24" spans="1:6" s="35" customFormat="1" ht="5.25" customHeight="1" x14ac:dyDescent="0.25">
      <c r="A24" s="350"/>
      <c r="B24" s="351"/>
      <c r="C24" s="351"/>
      <c r="D24" s="353"/>
      <c r="E24" s="354"/>
    </row>
    <row r="25" spans="1:6" s="35" customFormat="1" ht="15" x14ac:dyDescent="0.25">
      <c r="A25" s="355">
        <f>[3]Orçamento!$AD$253</f>
        <v>7</v>
      </c>
      <c r="B25" s="356" t="str">
        <f>'Orçamento '!$D$60</f>
        <v>INSTALAÇÕES ELÉTRICAS</v>
      </c>
      <c r="C25" s="34" t="str">
        <f>"TOTAL DO ITEM - "&amp;A25&amp;"      :"</f>
        <v>TOTAL DO ITEM - 7      :</v>
      </c>
      <c r="D25" s="357">
        <f ca="1">'Orçamento '!$J$60</f>
        <v>97772.50482776</v>
      </c>
      <c r="E25" s="358">
        <f ca="1">D25/D64</f>
        <v>8.2130896893219563E-2</v>
      </c>
    </row>
    <row r="26" spans="1:6" ht="5.25" customHeight="1" x14ac:dyDescent="0.25">
      <c r="A26" s="350"/>
      <c r="B26" s="359"/>
      <c r="C26" s="359"/>
      <c r="D26" s="359"/>
      <c r="E26" s="354"/>
      <c r="F26" s="360"/>
    </row>
    <row r="27" spans="1:6" s="35" customFormat="1" ht="5.25" customHeight="1" x14ac:dyDescent="0.25">
      <c r="A27" s="350"/>
      <c r="B27" s="351"/>
      <c r="C27" s="351"/>
      <c r="D27" s="353"/>
      <c r="E27" s="354"/>
    </row>
    <row r="28" spans="1:6" s="35" customFormat="1" ht="15" x14ac:dyDescent="0.25">
      <c r="A28" s="355">
        <f>[3]Orçamento!$AD$291</f>
        <v>8</v>
      </c>
      <c r="B28" s="356" t="str">
        <f>'Orçamento '!$D$128</f>
        <v>INSTALAÇÕES ELÉTRICAS ESTABILIZADAS</v>
      </c>
      <c r="C28" s="34" t="str">
        <f>"TOTAL DO ITEM - "&amp;A28&amp;"      :"</f>
        <v>TOTAL DO ITEM - 8      :</v>
      </c>
      <c r="D28" s="357">
        <f ca="1">'Orçamento '!$J$128</f>
        <v>132111.90388900001</v>
      </c>
      <c r="E28" s="358">
        <f ca="1">D28/D64</f>
        <v>0.11097669202388767</v>
      </c>
    </row>
    <row r="29" spans="1:6" ht="5.25" customHeight="1" x14ac:dyDescent="0.25">
      <c r="A29" s="350"/>
      <c r="B29" s="359"/>
      <c r="C29" s="359"/>
      <c r="D29" s="359"/>
      <c r="E29" s="354"/>
      <c r="F29" s="360"/>
    </row>
    <row r="30" spans="1:6" s="35" customFormat="1" ht="5.25" customHeight="1" x14ac:dyDescent="0.25">
      <c r="A30" s="350"/>
      <c r="B30" s="351"/>
      <c r="C30" s="351"/>
      <c r="D30" s="353"/>
      <c r="E30" s="354"/>
    </row>
    <row r="31" spans="1:6" s="35" customFormat="1" ht="15" x14ac:dyDescent="0.25">
      <c r="A31" s="355">
        <f>[3]Orçamento!$AD$317</f>
        <v>9</v>
      </c>
      <c r="B31" s="356" t="str">
        <f>'Orçamento '!$D$184</f>
        <v>CABEAMENTO ESTRUTURADO</v>
      </c>
      <c r="C31" s="34" t="str">
        <f>"TOTAL DO ITEM - "&amp;A31&amp;"      :"</f>
        <v>TOTAL DO ITEM - 9      :</v>
      </c>
      <c r="D31" s="357">
        <f ca="1">'Orçamento '!$J$184</f>
        <v>136529.76093313331</v>
      </c>
      <c r="E31" s="358">
        <f ca="1">D31/D64</f>
        <v>0.11468778198747093</v>
      </c>
    </row>
    <row r="32" spans="1:6" ht="5.25" customHeight="1" x14ac:dyDescent="0.25">
      <c r="A32" s="350"/>
      <c r="B32" s="359"/>
      <c r="C32" s="359"/>
      <c r="D32" s="359"/>
      <c r="E32" s="354"/>
      <c r="F32" s="360"/>
    </row>
    <row r="33" spans="1:6" s="35" customFormat="1" ht="5.25" customHeight="1" x14ac:dyDescent="0.25">
      <c r="A33" s="350"/>
      <c r="B33" s="351"/>
      <c r="C33" s="351"/>
      <c r="D33" s="353"/>
      <c r="E33" s="354"/>
    </row>
    <row r="34" spans="1:6" s="35" customFormat="1" ht="15" x14ac:dyDescent="0.25">
      <c r="A34" s="355">
        <f>[3]Orçamento!$AD$342</f>
        <v>10</v>
      </c>
      <c r="B34" s="356" t="str">
        <f>'Orçamento '!$D$240</f>
        <v>SISTEMA PCI</v>
      </c>
      <c r="C34" s="34" t="str">
        <f>"TOTAL DO ITEM - "&amp;A34&amp;"      :"</f>
        <v>TOTAL DO ITEM - 10      :</v>
      </c>
      <c r="D34" s="357">
        <f>'Orçamento '!$J$240</f>
        <v>1649.707641</v>
      </c>
      <c r="E34" s="358">
        <f ca="1">D34/D64</f>
        <v>1.3857880434342518E-3</v>
      </c>
    </row>
    <row r="35" spans="1:6" ht="5.25" customHeight="1" x14ac:dyDescent="0.25">
      <c r="A35" s="350"/>
      <c r="B35" s="359"/>
      <c r="C35" s="359"/>
      <c r="D35" s="359"/>
      <c r="E35" s="354"/>
      <c r="F35" s="360"/>
    </row>
    <row r="36" spans="1:6" s="35" customFormat="1" ht="5.25" customHeight="1" x14ac:dyDescent="0.25">
      <c r="A36" s="350"/>
      <c r="B36" s="351"/>
      <c r="C36" s="351"/>
      <c r="D36" s="353"/>
      <c r="E36" s="354"/>
    </row>
    <row r="37" spans="1:6" s="35" customFormat="1" ht="15" x14ac:dyDescent="0.25">
      <c r="A37" s="355">
        <f>[3]Orçamento!$AD$356</f>
        <v>11</v>
      </c>
      <c r="B37" s="356" t="str">
        <f>'Orçamento '!$D$245</f>
        <v>AR CONDICIONADO</v>
      </c>
      <c r="C37" s="34" t="str">
        <f>"TOTAL DO ITEM - "&amp;A37&amp;"      :"</f>
        <v>TOTAL DO ITEM - 11      :</v>
      </c>
      <c r="D37" s="357">
        <f ca="1">'Orçamento '!$J$245</f>
        <v>148121.11871237357</v>
      </c>
      <c r="E37" s="358">
        <f ca="1">D37/$D$64</f>
        <v>0.12442475878167598</v>
      </c>
    </row>
    <row r="38" spans="1:6" ht="5.25" customHeight="1" x14ac:dyDescent="0.25">
      <c r="A38" s="350"/>
      <c r="B38" s="359"/>
      <c r="C38" s="359"/>
      <c r="D38" s="359"/>
      <c r="E38" s="354"/>
      <c r="F38" s="360"/>
    </row>
    <row r="39" spans="1:6" s="35" customFormat="1" ht="5.25" customHeight="1" x14ac:dyDescent="0.25">
      <c r="A39" s="350"/>
      <c r="B39" s="351"/>
      <c r="C39" s="351"/>
      <c r="D39" s="353"/>
      <c r="E39" s="354"/>
    </row>
    <row r="40" spans="1:6" s="35" customFormat="1" ht="15" x14ac:dyDescent="0.25">
      <c r="A40" s="355">
        <v>12</v>
      </c>
      <c r="B40" s="356" t="str">
        <f>'Orçamento '!$D$266</f>
        <v>ESQUADRIAS</v>
      </c>
      <c r="C40" s="34" t="str">
        <f>"TOTAL DO ITEM - "&amp;A40&amp;"      :"</f>
        <v>TOTAL DO ITEM - 12      :</v>
      </c>
      <c r="D40" s="357">
        <f ca="1">'Orçamento '!$J$266</f>
        <v>206771.97982943396</v>
      </c>
      <c r="E40" s="358">
        <f ca="1">D40/$D$64</f>
        <v>0.17369267756507764</v>
      </c>
    </row>
    <row r="41" spans="1:6" ht="5.25" customHeight="1" x14ac:dyDescent="0.25">
      <c r="A41" s="350"/>
      <c r="B41" s="359"/>
      <c r="C41" s="359"/>
      <c r="D41" s="359"/>
      <c r="E41" s="354"/>
      <c r="F41" s="360"/>
    </row>
    <row r="42" spans="1:6" s="35" customFormat="1" ht="5.25" customHeight="1" x14ac:dyDescent="0.25">
      <c r="A42" s="350"/>
      <c r="B42" s="351"/>
      <c r="C42" s="351"/>
      <c r="D42" s="353"/>
      <c r="E42" s="354"/>
    </row>
    <row r="43" spans="1:6" s="35" customFormat="1" ht="15" x14ac:dyDescent="0.25">
      <c r="A43" s="355">
        <v>13</v>
      </c>
      <c r="B43" s="356" t="str">
        <f>'Orçamento '!$D$279</f>
        <v>PINTURA</v>
      </c>
      <c r="C43" s="34" t="str">
        <f>"TOTAL DO ITEM - "&amp;A43&amp;"      :"</f>
        <v>TOTAL DO ITEM - 13      :</v>
      </c>
      <c r="D43" s="357">
        <f>'Orçamento '!$J$279</f>
        <v>46100.222538118891</v>
      </c>
      <c r="E43" s="358">
        <f ca="1">D43/$D$64</f>
        <v>3.872512656500654E-2</v>
      </c>
    </row>
    <row r="44" spans="1:6" ht="5.25" customHeight="1" x14ac:dyDescent="0.25">
      <c r="A44" s="350"/>
      <c r="B44" s="359"/>
      <c r="C44" s="359"/>
      <c r="D44" s="359"/>
      <c r="E44" s="354"/>
      <c r="F44" s="360"/>
    </row>
    <row r="45" spans="1:6" s="35" customFormat="1" ht="5.25" customHeight="1" x14ac:dyDescent="0.25">
      <c r="A45" s="350"/>
      <c r="B45" s="351"/>
      <c r="C45" s="351"/>
      <c r="D45" s="353"/>
      <c r="E45" s="354"/>
    </row>
    <row r="46" spans="1:6" s="35" customFormat="1" ht="15" x14ac:dyDescent="0.25">
      <c r="A46" s="355">
        <v>14</v>
      </c>
      <c r="B46" s="356" t="str">
        <f>'Orçamento '!$D$285</f>
        <v xml:space="preserve">PAISAGISMO </v>
      </c>
      <c r="C46" s="34" t="str">
        <f>"TOTAL DO ITEM - "&amp;A46&amp;"      :"</f>
        <v>TOTAL DO ITEM - 14      :</v>
      </c>
      <c r="D46" s="357">
        <f ca="1">'Orçamento '!$J$285</f>
        <v>17407.887811907764</v>
      </c>
      <c r="E46" s="358">
        <f ca="1">D46/$D$64</f>
        <v>1.4622980576463621E-2</v>
      </c>
    </row>
    <row r="47" spans="1:6" ht="5.25" customHeight="1" x14ac:dyDescent="0.25">
      <c r="A47" s="350"/>
      <c r="B47" s="359"/>
      <c r="C47" s="359"/>
      <c r="D47" s="359"/>
      <c r="E47" s="354"/>
      <c r="F47" s="360"/>
    </row>
    <row r="48" spans="1:6" s="35" customFormat="1" ht="5.25" customHeight="1" x14ac:dyDescent="0.25">
      <c r="A48" s="350"/>
      <c r="B48" s="351"/>
      <c r="C48" s="351"/>
      <c r="D48" s="353"/>
      <c r="E48" s="354"/>
    </row>
    <row r="49" spans="1:8" s="35" customFormat="1" ht="15" x14ac:dyDescent="0.25">
      <c r="A49" s="355">
        <v>15</v>
      </c>
      <c r="B49" s="356" t="str">
        <f>'Orçamento '!$D$288</f>
        <v>CORTINAS E MOBILIÁRIOS</v>
      </c>
      <c r="C49" s="34" t="str">
        <f>"TOTAL DO ITEM - "&amp;A49&amp;"      :"</f>
        <v>TOTAL DO ITEM - 15      :</v>
      </c>
      <c r="D49" s="357">
        <f ca="1">'Orçamento '!$J$288</f>
        <v>47344.917986</v>
      </c>
      <c r="E49" s="358">
        <f ca="1">D49/$D$64</f>
        <v>3.9770696111102066E-2</v>
      </c>
    </row>
    <row r="50" spans="1:8" ht="5.25" customHeight="1" x14ac:dyDescent="0.25">
      <c r="A50" s="350"/>
      <c r="B50" s="359"/>
      <c r="C50" s="359"/>
      <c r="D50" s="359"/>
      <c r="E50" s="354"/>
      <c r="F50" s="360"/>
    </row>
    <row r="51" spans="1:8" s="35" customFormat="1" ht="5.25" customHeight="1" x14ac:dyDescent="0.25">
      <c r="A51" s="350"/>
      <c r="B51" s="351"/>
      <c r="C51" s="351"/>
      <c r="D51" s="353"/>
      <c r="E51" s="354"/>
    </row>
    <row r="52" spans="1:8" s="35" customFormat="1" ht="15" x14ac:dyDescent="0.25">
      <c r="A52" s="355">
        <f>'Orçamento '!A311</f>
        <v>16</v>
      </c>
      <c r="B52" s="356" t="str">
        <f>'Orçamento '!D311</f>
        <v>MANUTENÇÕES HIDROSSANITÁRIAS E COBERTURA</v>
      </c>
      <c r="C52" s="34" t="str">
        <f>"TOTAL DO ITEM - "&amp;A52&amp;"      :"</f>
        <v>TOTAL DO ITEM - 16      :</v>
      </c>
      <c r="D52" s="357">
        <f>'Orçamento '!J311</f>
        <v>24185.104635124997</v>
      </c>
      <c r="E52" s="358">
        <f ca="1">D52/$D$64</f>
        <v>2.0315980843882461E-2</v>
      </c>
    </row>
    <row r="53" spans="1:8" ht="5.25" customHeight="1" x14ac:dyDescent="0.25">
      <c r="A53" s="350"/>
      <c r="B53" s="359"/>
      <c r="C53" s="359"/>
      <c r="D53" s="359"/>
      <c r="E53" s="354"/>
      <c r="F53" s="360"/>
    </row>
    <row r="54" spans="1:8" s="35" customFormat="1" ht="5.25" customHeight="1" x14ac:dyDescent="0.25">
      <c r="A54" s="350"/>
      <c r="B54" s="351"/>
      <c r="C54" s="351"/>
      <c r="D54" s="353"/>
      <c r="E54" s="354"/>
    </row>
    <row r="55" spans="1:8" s="35" customFormat="1" ht="15" x14ac:dyDescent="0.25">
      <c r="A55" s="355">
        <f>'Orçamento '!A316</f>
        <v>17</v>
      </c>
      <c r="B55" s="356" t="str">
        <f>'Orçamento '!$D$316</f>
        <v xml:space="preserve">LIMPEZA GERAL </v>
      </c>
      <c r="C55" s="34" t="str">
        <f>"TOTAL DO ITEM - "&amp;A55&amp;"      :"</f>
        <v>TOTAL DO ITEM - 17      :</v>
      </c>
      <c r="D55" s="357">
        <f ca="1">'Orçamento '!$J$316</f>
        <v>15313.246545882717</v>
      </c>
      <c r="E55" s="358">
        <f ca="1">D55/$D$64</f>
        <v>1.2863439219195036E-2</v>
      </c>
    </row>
    <row r="56" spans="1:8" ht="5.25" customHeight="1" x14ac:dyDescent="0.25">
      <c r="A56" s="350"/>
      <c r="B56" s="359"/>
      <c r="C56" s="359"/>
      <c r="D56" s="359"/>
      <c r="E56" s="354"/>
      <c r="F56" s="360"/>
    </row>
    <row r="57" spans="1:8" s="35" customFormat="1" ht="5.25" customHeight="1" x14ac:dyDescent="0.25">
      <c r="A57" s="350"/>
      <c r="B57" s="351"/>
      <c r="C57" s="351"/>
      <c r="D57" s="353"/>
      <c r="E57" s="354"/>
    </row>
    <row r="58" spans="1:8" ht="5.25" customHeight="1" x14ac:dyDescent="0.25">
      <c r="A58" s="350"/>
      <c r="B58" s="359"/>
      <c r="C58" s="359"/>
      <c r="D58" s="359"/>
      <c r="E58" s="354"/>
      <c r="F58" s="360"/>
    </row>
    <row r="59" spans="1:8" s="35" customFormat="1" ht="5.25" customHeight="1" x14ac:dyDescent="0.25">
      <c r="A59" s="350"/>
      <c r="B59" s="351"/>
      <c r="C59" s="351"/>
      <c r="D59" s="353"/>
      <c r="E59" s="354"/>
    </row>
    <row r="60" spans="1:8" ht="5.25" customHeight="1" x14ac:dyDescent="0.25">
      <c r="A60" s="350"/>
      <c r="B60" s="359"/>
      <c r="C60" s="359"/>
      <c r="D60" s="359"/>
      <c r="E60" s="354"/>
      <c r="F60" s="360"/>
    </row>
    <row r="61" spans="1:8" s="35" customFormat="1" ht="5.25" customHeight="1" x14ac:dyDescent="0.25">
      <c r="A61" s="350"/>
      <c r="B61" s="351"/>
      <c r="C61" s="351"/>
      <c r="D61" s="353"/>
      <c r="E61" s="354"/>
    </row>
    <row r="62" spans="1:8" ht="5.25" customHeight="1" x14ac:dyDescent="0.25">
      <c r="A62" s="350"/>
      <c r="B62" s="359"/>
      <c r="C62" s="361"/>
      <c r="D62" s="359"/>
      <c r="E62" s="354"/>
      <c r="F62" s="360"/>
    </row>
    <row r="63" spans="1:8" ht="5.25" customHeight="1" thickBot="1" x14ac:dyDescent="0.3">
      <c r="A63" s="350"/>
      <c r="B63" s="359"/>
      <c r="C63" s="361"/>
      <c r="D63" s="359"/>
      <c r="E63" s="354"/>
      <c r="F63" s="360"/>
    </row>
    <row r="64" spans="1:8" ht="15.75" thickBot="1" x14ac:dyDescent="0.3">
      <c r="A64" s="362"/>
      <c r="B64" s="363"/>
      <c r="C64" s="364" t="s">
        <v>261</v>
      </c>
      <c r="D64" s="365">
        <f ca="1">SUBTOTAL(9,OFFSET(D5,1,0):OFFSET(D64,-1,0))</f>
        <v>1190447.304561601</v>
      </c>
      <c r="E64" s="366">
        <f ca="1">SUBTOTAL(9,OFFSET(E5,1,0):OFFSET(E64,-1,0))</f>
        <v>1</v>
      </c>
      <c r="F64" s="367"/>
      <c r="H64" s="367"/>
    </row>
    <row r="67" spans="4:4" ht="18.75" customHeight="1" x14ac:dyDescent="0.25">
      <c r="D67" s="332">
        <f ca="1">'Orçamento '!J323</f>
        <v>1190447.3045616013</v>
      </c>
    </row>
    <row r="69" spans="4:4" ht="18.75" customHeight="1" x14ac:dyDescent="0.25">
      <c r="D69" s="237" t="b">
        <f ca="1">D64=D67</f>
        <v>1</v>
      </c>
    </row>
  </sheetData>
  <mergeCells count="2">
    <mergeCell ref="A1:D1"/>
    <mergeCell ref="D4:E5"/>
  </mergeCells>
  <conditionalFormatting sqref="B2:B4">
    <cfRule type="expression" dxfId="43" priority="1">
      <formula>B2=""</formula>
    </cfRule>
  </conditionalFormatting>
  <dataValidations disablePrompts="1" count="2">
    <dataValidation type="whole" allowBlank="1" showInputMessage="1" showErrorMessage="1" sqref="C5" xr:uid="{958A2D64-C196-45C2-9B0A-87D978BCD60A}">
      <formula1>2</formula1>
      <formula2>120</formula2>
    </dataValidation>
    <dataValidation type="list" allowBlank="1" showInputMessage="1" showErrorMessage="1" sqref="C3" xr:uid="{0D465E60-201C-44D5-82D1-63C41C45FCB2}">
      <formula1>$M$1:$M$2</formula1>
    </dataValidation>
  </dataValidations>
  <pageMargins left="0.511811024" right="0.511811024" top="0.78740157499999996" bottom="0.78740157499999996" header="0.31496062000000002" footer="0.31496062000000002"/>
  <pageSetup paperSize="9" scale="5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27"/>
  <sheetViews>
    <sheetView view="pageBreakPreview" zoomScale="70" zoomScaleNormal="55" zoomScaleSheetLayoutView="70" workbookViewId="0">
      <selection sqref="A1:XFD1048576"/>
    </sheetView>
  </sheetViews>
  <sheetFormatPr defaultRowHeight="15" x14ac:dyDescent="0.25"/>
  <cols>
    <col min="1" max="1" width="22.5703125" style="68" customWidth="1"/>
    <col min="2" max="2" width="20.42578125" style="68" customWidth="1"/>
    <col min="3" max="3" width="19.28515625" style="68" customWidth="1"/>
    <col min="4" max="4" width="89" style="68" customWidth="1"/>
    <col min="5" max="5" width="12.5703125" style="68" customWidth="1"/>
    <col min="6" max="6" width="13.28515625" style="68" customWidth="1"/>
    <col min="7" max="7" width="17.7109375" style="68" bestFit="1" customWidth="1"/>
    <col min="8" max="9" width="21.5703125" style="68" customWidth="1"/>
    <col min="10" max="10" width="25.42578125" style="68" customWidth="1"/>
    <col min="11" max="11" width="35.28515625" style="72" bestFit="1" customWidth="1"/>
    <col min="12" max="12" width="24.28515625" style="68" bestFit="1" customWidth="1"/>
    <col min="13" max="13" width="9.140625" style="68"/>
    <col min="14" max="14" width="14.5703125" style="68" bestFit="1" customWidth="1"/>
    <col min="15" max="16384" width="9.140625" style="68"/>
  </cols>
  <sheetData>
    <row r="1" spans="1:32" s="94" customFormat="1" ht="93" customHeight="1" thickBot="1" x14ac:dyDescent="0.3">
      <c r="A1" s="434" t="s">
        <v>1</v>
      </c>
      <c r="B1" s="435"/>
      <c r="C1" s="435"/>
      <c r="D1" s="435"/>
      <c r="E1" s="435"/>
      <c r="F1" s="435"/>
      <c r="G1" s="435"/>
      <c r="H1" s="435"/>
      <c r="I1" s="435"/>
      <c r="J1" s="436"/>
      <c r="K1" s="72"/>
      <c r="L1" s="68"/>
      <c r="M1" s="68"/>
      <c r="N1" s="61"/>
      <c r="O1" s="143"/>
      <c r="P1" s="61"/>
      <c r="Q1" s="144"/>
      <c r="R1" s="68"/>
      <c r="S1" s="68"/>
      <c r="T1" s="68"/>
      <c r="U1" s="68"/>
      <c r="V1" s="68"/>
      <c r="W1" s="68"/>
      <c r="X1" s="68"/>
      <c r="Y1" s="68"/>
      <c r="Z1" s="68"/>
      <c r="AA1" s="68"/>
      <c r="AB1" s="68"/>
      <c r="AC1" s="68"/>
      <c r="AD1" s="68"/>
      <c r="AE1" s="68"/>
      <c r="AF1" s="68"/>
    </row>
    <row r="2" spans="1:32" s="94" customFormat="1" ht="18" customHeight="1" x14ac:dyDescent="0.25">
      <c r="A2" s="48" t="s">
        <v>659</v>
      </c>
      <c r="B2" s="450" t="s">
        <v>111</v>
      </c>
      <c r="C2" s="450"/>
      <c r="D2" s="450"/>
      <c r="E2" s="450"/>
      <c r="F2" s="450"/>
      <c r="G2" s="450"/>
      <c r="H2" s="450"/>
      <c r="I2" s="450"/>
      <c r="J2" s="97">
        <f>BDI!$Z$21</f>
        <v>0.22470000000000001</v>
      </c>
      <c r="K2" s="72"/>
      <c r="L2" s="68"/>
      <c r="M2" s="68"/>
      <c r="N2" s="92"/>
      <c r="O2" s="143"/>
      <c r="P2" s="61"/>
      <c r="Q2" s="144"/>
      <c r="R2" s="68"/>
      <c r="S2" s="68"/>
      <c r="T2" s="68"/>
      <c r="U2" s="68"/>
      <c r="V2" s="68"/>
      <c r="W2" s="68"/>
      <c r="X2" s="68"/>
      <c r="Y2" s="68"/>
      <c r="Z2" s="68"/>
      <c r="AA2" s="68"/>
      <c r="AB2" s="68"/>
      <c r="AC2" s="68"/>
      <c r="AD2" s="68"/>
      <c r="AE2" s="68"/>
      <c r="AF2" s="68"/>
    </row>
    <row r="3" spans="1:32" s="94" customFormat="1" ht="18.75" customHeight="1" x14ac:dyDescent="0.25">
      <c r="A3" s="49" t="s">
        <v>221</v>
      </c>
      <c r="B3" s="449" t="s">
        <v>114</v>
      </c>
      <c r="C3" s="449"/>
      <c r="D3" s="449"/>
      <c r="E3" s="449"/>
      <c r="F3" s="449"/>
      <c r="G3" s="449"/>
      <c r="H3" s="449"/>
      <c r="I3" s="449"/>
      <c r="J3" s="98" t="str">
        <f>Resumo!D3</f>
        <v>REV_04</v>
      </c>
      <c r="K3" s="333"/>
      <c r="L3" s="68"/>
      <c r="M3" s="68"/>
      <c r="N3" s="92"/>
      <c r="O3" s="143"/>
      <c r="P3" s="61"/>
      <c r="Q3" s="144"/>
      <c r="R3" s="68"/>
      <c r="S3" s="68"/>
      <c r="T3" s="68"/>
      <c r="U3" s="68"/>
      <c r="V3" s="68"/>
      <c r="W3" s="68"/>
      <c r="X3" s="68"/>
      <c r="Y3" s="68"/>
      <c r="Z3" s="68"/>
      <c r="AA3" s="68"/>
      <c r="AB3" s="68"/>
      <c r="AC3" s="68"/>
      <c r="AD3" s="68"/>
      <c r="AE3" s="68"/>
      <c r="AF3" s="68"/>
    </row>
    <row r="4" spans="1:32" s="94" customFormat="1" ht="19.5" customHeight="1" x14ac:dyDescent="0.25">
      <c r="A4" s="49" t="s">
        <v>80</v>
      </c>
      <c r="B4" s="448" t="s">
        <v>867</v>
      </c>
      <c r="C4" s="448"/>
      <c r="D4" s="448"/>
      <c r="E4" s="448"/>
      <c r="F4" s="448"/>
      <c r="G4" s="448"/>
      <c r="H4" s="448"/>
      <c r="I4" s="448"/>
      <c r="J4" s="147" t="str">
        <f>Resumo!$D$4</f>
        <v>SETEMBRO_2024</v>
      </c>
      <c r="K4" s="72"/>
      <c r="L4" s="68"/>
      <c r="M4" s="68"/>
      <c r="N4" s="92"/>
      <c r="O4" s="143"/>
      <c r="P4" s="61"/>
      <c r="Q4" s="144"/>
      <c r="R4" s="68"/>
      <c r="S4" s="68"/>
      <c r="T4" s="68"/>
      <c r="U4" s="68"/>
      <c r="V4" s="68"/>
      <c r="W4" s="68"/>
      <c r="X4" s="68"/>
      <c r="Y4" s="68"/>
      <c r="Z4" s="68"/>
      <c r="AA4" s="68"/>
      <c r="AB4" s="68"/>
      <c r="AC4" s="68"/>
      <c r="AD4" s="68"/>
      <c r="AE4" s="68"/>
      <c r="AF4" s="68"/>
    </row>
    <row r="5" spans="1:32" s="237" customFormat="1" ht="15.75" customHeight="1" thickBot="1" x14ac:dyDescent="0.3">
      <c r="A5" s="236" t="s">
        <v>255</v>
      </c>
      <c r="B5" s="447" t="str">
        <f>Resumo!B5</f>
        <v>SINAPI MG 08/2024 / SETOP CENTRAL 04/2024 / ORSE SE 06/2024 / SBC 09/2024 / SUDECAP 04/2024 / CPOS 06/2024 / EMOP 08/2024</v>
      </c>
      <c r="C5" s="447"/>
      <c r="D5" s="447"/>
      <c r="E5" s="447"/>
      <c r="F5" s="447"/>
      <c r="G5" s="447"/>
      <c r="H5" s="447"/>
      <c r="I5" s="447"/>
      <c r="J5" s="148"/>
      <c r="K5" s="145"/>
    </row>
    <row r="6" spans="1:32" ht="19.5" customHeight="1" thickBot="1" x14ac:dyDescent="0.3">
      <c r="A6" s="437"/>
      <c r="B6" s="438"/>
      <c r="C6" s="438"/>
      <c r="D6" s="438"/>
      <c r="E6" s="438"/>
      <c r="F6" s="438"/>
      <c r="G6" s="438"/>
      <c r="H6" s="438"/>
      <c r="I6" s="438"/>
      <c r="J6" s="439"/>
      <c r="K6" s="333"/>
    </row>
    <row r="7" spans="1:32" s="1" customFormat="1" ht="28.5" customHeight="1" thickBot="1" x14ac:dyDescent="0.3">
      <c r="A7" s="443" t="s">
        <v>1</v>
      </c>
      <c r="B7" s="444"/>
      <c r="C7" s="445"/>
      <c r="D7" s="445"/>
      <c r="E7" s="445"/>
      <c r="F7" s="445"/>
      <c r="G7" s="445"/>
      <c r="H7" s="445"/>
      <c r="I7" s="445"/>
      <c r="J7" s="446"/>
      <c r="K7" s="145"/>
      <c r="N7" s="2"/>
    </row>
    <row r="8" spans="1:32" s="1" customFormat="1" ht="57" customHeight="1" thickBot="1" x14ac:dyDescent="0.3">
      <c r="A8" s="43" t="s">
        <v>82</v>
      </c>
      <c r="B8" s="44" t="s">
        <v>654</v>
      </c>
      <c r="C8" s="45" t="s">
        <v>655</v>
      </c>
      <c r="D8" s="45" t="s">
        <v>83</v>
      </c>
      <c r="E8" s="46" t="s">
        <v>157</v>
      </c>
      <c r="F8" s="46" t="s">
        <v>276</v>
      </c>
      <c r="G8" s="46" t="s">
        <v>656</v>
      </c>
      <c r="H8" s="46" t="s">
        <v>657</v>
      </c>
      <c r="I8" s="46" t="s">
        <v>658</v>
      </c>
      <c r="J8" s="47" t="s">
        <v>666</v>
      </c>
      <c r="K8" s="145"/>
      <c r="L8" s="183"/>
      <c r="N8" s="2"/>
    </row>
    <row r="9" spans="1:32" s="151" customFormat="1" x14ac:dyDescent="0.25">
      <c r="A9" s="166"/>
      <c r="J9" s="167"/>
      <c r="K9" s="149"/>
      <c r="L9" s="150"/>
    </row>
    <row r="10" spans="1:32" s="3" customFormat="1" x14ac:dyDescent="0.25">
      <c r="A10" s="140">
        <v>1</v>
      </c>
      <c r="B10" s="5"/>
      <c r="C10" s="5"/>
      <c r="D10" s="5" t="s">
        <v>29</v>
      </c>
      <c r="E10" s="5"/>
      <c r="F10" s="6"/>
      <c r="G10" s="80"/>
      <c r="H10" s="80"/>
      <c r="I10" s="80">
        <f>SUM(I11:I12)</f>
        <v>59687.509999999995</v>
      </c>
      <c r="J10" s="80">
        <f>SUM(J11:J12)</f>
        <v>73099.293496999991</v>
      </c>
      <c r="K10" s="90"/>
      <c r="N10" s="57"/>
    </row>
    <row r="11" spans="1:32" s="151" customFormat="1" x14ac:dyDescent="0.25">
      <c r="A11" s="141" t="s">
        <v>43</v>
      </c>
      <c r="B11" s="69">
        <v>93565</v>
      </c>
      <c r="C11" s="69" t="s">
        <v>17</v>
      </c>
      <c r="D11" s="69" t="s">
        <v>872</v>
      </c>
      <c r="E11" s="69" t="s">
        <v>84</v>
      </c>
      <c r="F11" s="70">
        <f>MC!$J$9</f>
        <v>1</v>
      </c>
      <c r="G11" s="77">
        <v>20794.310000000001</v>
      </c>
      <c r="H11" s="73">
        <f t="shared" ref="H11:H12" si="0">G11*(1+$J$2)</f>
        <v>25466.791456999999</v>
      </c>
      <c r="I11" s="77">
        <f t="shared" ref="I11:I12" si="1">G11*F11</f>
        <v>20794.310000000001</v>
      </c>
      <c r="J11" s="142">
        <f t="shared" ref="J11:J12" si="2">H11*F11</f>
        <v>25466.791456999999</v>
      </c>
      <c r="K11" s="149"/>
      <c r="L11" s="150"/>
    </row>
    <row r="12" spans="1:32" s="151" customFormat="1" x14ac:dyDescent="0.25">
      <c r="A12" s="141" t="s">
        <v>44</v>
      </c>
      <c r="B12" s="69">
        <v>93572</v>
      </c>
      <c r="C12" s="69" t="s">
        <v>17</v>
      </c>
      <c r="D12" s="69" t="s">
        <v>873</v>
      </c>
      <c r="E12" s="69" t="s">
        <v>84</v>
      </c>
      <c r="F12" s="70">
        <f>MC!$J$12</f>
        <v>4</v>
      </c>
      <c r="G12" s="77">
        <v>9723.2999999999993</v>
      </c>
      <c r="H12" s="73">
        <f t="shared" si="0"/>
        <v>11908.125509999998</v>
      </c>
      <c r="I12" s="77">
        <f t="shared" si="1"/>
        <v>38893.199999999997</v>
      </c>
      <c r="J12" s="142">
        <f t="shared" si="2"/>
        <v>47632.502039999992</v>
      </c>
      <c r="K12" s="149"/>
      <c r="L12" s="150"/>
    </row>
    <row r="13" spans="1:32" s="151" customFormat="1" x14ac:dyDescent="0.25">
      <c r="A13" s="163"/>
      <c r="B13" s="164"/>
      <c r="C13" s="164"/>
      <c r="D13" s="164"/>
      <c r="E13" s="164"/>
      <c r="F13" s="164"/>
      <c r="G13" s="164"/>
      <c r="H13" s="164"/>
      <c r="I13" s="164"/>
      <c r="J13" s="165"/>
      <c r="K13" s="149"/>
    </row>
    <row r="14" spans="1:32" s="3" customFormat="1" x14ac:dyDescent="0.25">
      <c r="A14" s="140">
        <v>2</v>
      </c>
      <c r="B14" s="5"/>
      <c r="C14" s="5"/>
      <c r="D14" s="5" t="s">
        <v>30</v>
      </c>
      <c r="E14" s="5"/>
      <c r="F14" s="6"/>
      <c r="G14" s="7"/>
      <c r="H14" s="7"/>
      <c r="I14" s="80">
        <f ca="1">SUM(I15:I23)</f>
        <v>7158.9841870914115</v>
      </c>
      <c r="J14" s="80">
        <f ca="1">SUM(J15:J23)</f>
        <v>8767.6079339308508</v>
      </c>
      <c r="K14" s="90"/>
      <c r="L14" s="58"/>
      <c r="N14" s="57"/>
    </row>
    <row r="15" spans="1:32" s="152" customFormat="1" ht="30" x14ac:dyDescent="0.25">
      <c r="A15" s="141" t="s">
        <v>45</v>
      </c>
      <c r="B15" s="69" t="s">
        <v>665</v>
      </c>
      <c r="C15" s="69" t="s">
        <v>6</v>
      </c>
      <c r="D15" s="33" t="s">
        <v>635</v>
      </c>
      <c r="E15" s="69" t="s">
        <v>75</v>
      </c>
      <c r="F15" s="238">
        <v>5.0000000000000001E-3</v>
      </c>
      <c r="G15" s="71">
        <f ca="1">SUM(I10,I16:I22,I25,I38,I43,I56,I60,I128,I184,I240,I245,I266,I285,I288,I316,I311,I279)</f>
        <v>966739.83741828229</v>
      </c>
      <c r="H15" s="73">
        <f t="shared" ref="H15" ca="1" si="3">G15*(1+$J$2)</f>
        <v>1183966.2788861701</v>
      </c>
      <c r="I15" s="77">
        <f t="shared" ref="I15" ca="1" si="4">G15*F15</f>
        <v>4833.6991870914117</v>
      </c>
      <c r="J15" s="142">
        <f t="shared" ref="J15" ca="1" si="5">H15*F15</f>
        <v>5919.8313944308511</v>
      </c>
      <c r="K15" s="149"/>
      <c r="L15" s="151"/>
      <c r="M15" s="151"/>
      <c r="N15" s="151"/>
      <c r="O15" s="151"/>
      <c r="P15" s="151"/>
      <c r="Q15" s="151"/>
      <c r="R15" s="151"/>
      <c r="S15" s="151"/>
      <c r="T15" s="151"/>
      <c r="U15" s="151"/>
      <c r="V15" s="151"/>
      <c r="W15" s="151"/>
      <c r="X15" s="151"/>
      <c r="Y15" s="151"/>
      <c r="Z15" s="151"/>
      <c r="AA15" s="151"/>
      <c r="AB15" s="151"/>
      <c r="AC15" s="151"/>
      <c r="AD15" s="151"/>
      <c r="AE15" s="151"/>
      <c r="AF15" s="151"/>
    </row>
    <row r="16" spans="1:32" s="151" customFormat="1" ht="31.5" customHeight="1" x14ac:dyDescent="0.25">
      <c r="A16" s="141" t="s">
        <v>46</v>
      </c>
      <c r="B16" s="69" t="s">
        <v>7</v>
      </c>
      <c r="C16" s="69" t="s">
        <v>875</v>
      </c>
      <c r="D16" s="33" t="s">
        <v>874</v>
      </c>
      <c r="E16" s="69" t="s">
        <v>474</v>
      </c>
      <c r="F16" s="70">
        <v>1</v>
      </c>
      <c r="G16" s="76">
        <v>262.55</v>
      </c>
      <c r="H16" s="73">
        <f t="shared" ref="H16:H22" si="6">G16*(1+$J$2)</f>
        <v>321.544985</v>
      </c>
      <c r="I16" s="77">
        <f t="shared" ref="I16:I22" si="7">G16*F16</f>
        <v>262.55</v>
      </c>
      <c r="J16" s="142">
        <f t="shared" ref="J16:J22" si="8">H16*F16</f>
        <v>321.544985</v>
      </c>
      <c r="K16" s="149"/>
      <c r="L16" s="150"/>
      <c r="N16" s="150"/>
    </row>
    <row r="17" spans="1:14" s="151" customFormat="1" ht="30" x14ac:dyDescent="0.25">
      <c r="A17" s="141" t="s">
        <v>47</v>
      </c>
      <c r="B17" s="69" t="s">
        <v>361</v>
      </c>
      <c r="C17" s="69" t="s">
        <v>6</v>
      </c>
      <c r="D17" s="33" t="s">
        <v>360</v>
      </c>
      <c r="E17" s="69" t="s">
        <v>107</v>
      </c>
      <c r="F17" s="70">
        <v>483.55</v>
      </c>
      <c r="G17" s="76">
        <v>0.9</v>
      </c>
      <c r="H17" s="73">
        <f t="shared" si="6"/>
        <v>1.10223</v>
      </c>
      <c r="I17" s="77">
        <f t="shared" si="7"/>
        <v>435.19499999999999</v>
      </c>
      <c r="J17" s="142">
        <f t="shared" si="8"/>
        <v>532.9833165</v>
      </c>
      <c r="K17" s="149"/>
    </row>
    <row r="18" spans="1:14" s="151" customFormat="1" ht="30" x14ac:dyDescent="0.25">
      <c r="A18" s="141" t="s">
        <v>224</v>
      </c>
      <c r="B18" s="69" t="s">
        <v>7</v>
      </c>
      <c r="C18" s="69" t="s">
        <v>875</v>
      </c>
      <c r="D18" s="33" t="s">
        <v>876</v>
      </c>
      <c r="E18" s="69" t="s">
        <v>474</v>
      </c>
      <c r="F18" s="70">
        <v>1</v>
      </c>
      <c r="G18" s="76">
        <v>99.64</v>
      </c>
      <c r="H18" s="73">
        <f t="shared" si="6"/>
        <v>122.02910799999999</v>
      </c>
      <c r="I18" s="77">
        <f t="shared" si="7"/>
        <v>99.64</v>
      </c>
      <c r="J18" s="142">
        <f t="shared" si="8"/>
        <v>122.02910799999999</v>
      </c>
      <c r="K18" s="149"/>
      <c r="N18" s="150"/>
    </row>
    <row r="19" spans="1:14" s="151" customFormat="1" ht="32.25" customHeight="1" x14ac:dyDescent="0.25">
      <c r="A19" s="141" t="s">
        <v>225</v>
      </c>
      <c r="B19" s="69" t="s">
        <v>361</v>
      </c>
      <c r="C19" s="69" t="s">
        <v>6</v>
      </c>
      <c r="D19" s="33" t="s">
        <v>222</v>
      </c>
      <c r="E19" s="69" t="s">
        <v>107</v>
      </c>
      <c r="F19" s="70">
        <v>483.55</v>
      </c>
      <c r="G19" s="76">
        <v>0.9</v>
      </c>
      <c r="H19" s="73">
        <f t="shared" si="6"/>
        <v>1.10223</v>
      </c>
      <c r="I19" s="77">
        <f t="shared" si="7"/>
        <v>435.19499999999999</v>
      </c>
      <c r="J19" s="142">
        <f t="shared" si="8"/>
        <v>532.9833165</v>
      </c>
      <c r="K19" s="149"/>
    </row>
    <row r="20" spans="1:14" s="151" customFormat="1" ht="32.25" customHeight="1" x14ac:dyDescent="0.25">
      <c r="A20" s="141" t="s">
        <v>479</v>
      </c>
      <c r="B20" s="69" t="s">
        <v>7</v>
      </c>
      <c r="C20" s="69" t="s">
        <v>875</v>
      </c>
      <c r="D20" s="33" t="s">
        <v>877</v>
      </c>
      <c r="E20" s="69" t="s">
        <v>474</v>
      </c>
      <c r="F20" s="70">
        <v>1</v>
      </c>
      <c r="G20" s="76">
        <v>99.64</v>
      </c>
      <c r="H20" s="73">
        <f t="shared" si="6"/>
        <v>122.02910799999999</v>
      </c>
      <c r="I20" s="77">
        <f t="shared" si="7"/>
        <v>99.64</v>
      </c>
      <c r="J20" s="142">
        <f t="shared" si="8"/>
        <v>122.02910799999999</v>
      </c>
      <c r="K20" s="149"/>
      <c r="N20" s="150"/>
    </row>
    <row r="21" spans="1:14" s="151" customFormat="1" ht="30" x14ac:dyDescent="0.25">
      <c r="A21" s="141" t="s">
        <v>480</v>
      </c>
      <c r="B21" s="69" t="s">
        <v>361</v>
      </c>
      <c r="C21" s="69" t="s">
        <v>6</v>
      </c>
      <c r="D21" s="33" t="s">
        <v>223</v>
      </c>
      <c r="E21" s="69" t="s">
        <v>107</v>
      </c>
      <c r="F21" s="70">
        <v>483.55</v>
      </c>
      <c r="G21" s="76">
        <v>0.9</v>
      </c>
      <c r="H21" s="73">
        <f t="shared" si="6"/>
        <v>1.10223</v>
      </c>
      <c r="I21" s="77">
        <f t="shared" si="7"/>
        <v>435.19499999999999</v>
      </c>
      <c r="J21" s="142">
        <f t="shared" si="8"/>
        <v>532.9833165</v>
      </c>
      <c r="K21" s="149"/>
    </row>
    <row r="22" spans="1:14" s="151" customFormat="1" ht="30" x14ac:dyDescent="0.25">
      <c r="A22" s="141" t="s">
        <v>292</v>
      </c>
      <c r="B22" s="69" t="s">
        <v>7</v>
      </c>
      <c r="C22" s="69" t="s">
        <v>875</v>
      </c>
      <c r="D22" s="33" t="s">
        <v>878</v>
      </c>
      <c r="E22" s="69" t="s">
        <v>474</v>
      </c>
      <c r="F22" s="70">
        <v>1</v>
      </c>
      <c r="G22" s="76">
        <v>99.64</v>
      </c>
      <c r="H22" s="73">
        <f t="shared" si="6"/>
        <v>122.02910799999999</v>
      </c>
      <c r="I22" s="77">
        <f t="shared" si="7"/>
        <v>99.64</v>
      </c>
      <c r="J22" s="142">
        <f t="shared" si="8"/>
        <v>122.02910799999999</v>
      </c>
      <c r="K22" s="149"/>
      <c r="N22" s="150"/>
    </row>
    <row r="23" spans="1:14" s="151" customFormat="1" ht="30" x14ac:dyDescent="0.25">
      <c r="A23" s="141" t="s">
        <v>1087</v>
      </c>
      <c r="B23" s="69" t="s">
        <v>17</v>
      </c>
      <c r="C23" s="69">
        <v>103689</v>
      </c>
      <c r="D23" s="33" t="s">
        <v>1086</v>
      </c>
      <c r="E23" s="69" t="s">
        <v>107</v>
      </c>
      <c r="F23" s="70">
        <f>1*1</f>
        <v>1</v>
      </c>
      <c r="G23" s="76">
        <v>458.23</v>
      </c>
      <c r="H23" s="73">
        <f t="shared" ref="H23" si="9">G23*(1+$J$2)</f>
        <v>561.19428099999993</v>
      </c>
      <c r="I23" s="77">
        <f t="shared" ref="I23" si="10">G23*F23</f>
        <v>458.23</v>
      </c>
      <c r="J23" s="142">
        <f t="shared" ref="J23" si="11">H23*F23</f>
        <v>561.19428099999993</v>
      </c>
      <c r="K23" s="149"/>
      <c r="N23" s="150"/>
    </row>
    <row r="24" spans="1:14" s="151" customFormat="1" x14ac:dyDescent="0.25">
      <c r="A24" s="163"/>
      <c r="B24" s="164"/>
      <c r="C24" s="164"/>
      <c r="D24" s="164"/>
      <c r="E24" s="164"/>
      <c r="F24" s="164"/>
      <c r="G24" s="164"/>
      <c r="H24" s="164"/>
      <c r="I24" s="164"/>
      <c r="J24" s="165"/>
      <c r="K24" s="149"/>
    </row>
    <row r="25" spans="1:14" s="3" customFormat="1" x14ac:dyDescent="0.25">
      <c r="A25" s="140">
        <v>3</v>
      </c>
      <c r="B25" s="5"/>
      <c r="C25" s="5"/>
      <c r="D25" s="5" t="s">
        <v>8</v>
      </c>
      <c r="E25" s="5"/>
      <c r="F25" s="6"/>
      <c r="G25" s="7"/>
      <c r="H25" s="7"/>
      <c r="I25" s="80">
        <f>SUM(I26:I36)</f>
        <v>13874.466860954823</v>
      </c>
      <c r="J25" s="80">
        <f>SUM(J26:J36)</f>
        <v>16992.059564611369</v>
      </c>
      <c r="K25" s="90"/>
      <c r="N25" s="57"/>
    </row>
    <row r="26" spans="1:14" s="151" customFormat="1" ht="45" x14ac:dyDescent="0.25">
      <c r="A26" s="239" t="s">
        <v>48</v>
      </c>
      <c r="B26" s="240" t="s">
        <v>9</v>
      </c>
      <c r="C26" s="69" t="s">
        <v>6</v>
      </c>
      <c r="D26" s="241" t="s">
        <v>362</v>
      </c>
      <c r="E26" s="240" t="s">
        <v>144</v>
      </c>
      <c r="F26" s="242">
        <f>MC!$J$16</f>
        <v>64</v>
      </c>
      <c r="G26" s="76">
        <v>10.81</v>
      </c>
      <c r="H26" s="73">
        <f t="shared" ref="H26" si="12">G26*(1+$J$2)</f>
        <v>13.239006999999999</v>
      </c>
      <c r="I26" s="77">
        <f t="shared" ref="I26" si="13">G26*F26</f>
        <v>691.84</v>
      </c>
      <c r="J26" s="142">
        <f t="shared" ref="J26" si="14">H26*F26</f>
        <v>847.29644799999994</v>
      </c>
      <c r="K26" s="149"/>
    </row>
    <row r="27" spans="1:14" s="151" customFormat="1" ht="45" x14ac:dyDescent="0.25">
      <c r="A27" s="239" t="s">
        <v>49</v>
      </c>
      <c r="B27" s="69" t="s">
        <v>363</v>
      </c>
      <c r="C27" s="69" t="s">
        <v>6</v>
      </c>
      <c r="D27" s="33" t="s">
        <v>364</v>
      </c>
      <c r="E27" s="69" t="s">
        <v>107</v>
      </c>
      <c r="F27" s="70">
        <f>MC!$J$32</f>
        <v>371.42999999999995</v>
      </c>
      <c r="G27" s="62">
        <v>5.63</v>
      </c>
      <c r="H27" s="73">
        <f t="shared" ref="H27:H36" si="15">G27*(1+$J$2)</f>
        <v>6.8950609999999992</v>
      </c>
      <c r="I27" s="77">
        <f t="shared" ref="I27:I36" si="16">G27*F27</f>
        <v>2091.1508999999996</v>
      </c>
      <c r="J27" s="142">
        <f t="shared" ref="J27:J36" si="17">H27*F27</f>
        <v>2561.0325072299993</v>
      </c>
      <c r="K27" s="149"/>
    </row>
    <row r="28" spans="1:14" s="151" customFormat="1" ht="30" x14ac:dyDescent="0.25">
      <c r="A28" s="239" t="s">
        <v>293</v>
      </c>
      <c r="B28" s="69" t="s">
        <v>366</v>
      </c>
      <c r="C28" s="69" t="s">
        <v>156</v>
      </c>
      <c r="D28" s="33" t="s">
        <v>365</v>
      </c>
      <c r="E28" s="70" t="s">
        <v>107</v>
      </c>
      <c r="F28" s="70">
        <f>MC!$J$48</f>
        <v>141.73779999999999</v>
      </c>
      <c r="G28" s="76">
        <f>CPU!$H$8</f>
        <v>11.025973826000001</v>
      </c>
      <c r="H28" s="73">
        <f t="shared" si="15"/>
        <v>13.503510144702201</v>
      </c>
      <c r="I28" s="77">
        <f t="shared" si="16"/>
        <v>1562.7972729548228</v>
      </c>
      <c r="J28" s="142">
        <f t="shared" si="17"/>
        <v>1913.9578201877714</v>
      </c>
      <c r="K28" s="149"/>
    </row>
    <row r="29" spans="1:14" s="151" customFormat="1" ht="30" x14ac:dyDescent="0.25">
      <c r="A29" s="239" t="s">
        <v>50</v>
      </c>
      <c r="B29" s="69" t="s">
        <v>100</v>
      </c>
      <c r="C29" s="69" t="s">
        <v>6</v>
      </c>
      <c r="D29" s="33" t="s">
        <v>367</v>
      </c>
      <c r="E29" s="70" t="s">
        <v>107</v>
      </c>
      <c r="F29" s="70">
        <f>MC!$J$62</f>
        <v>7.6167999999999996</v>
      </c>
      <c r="G29" s="76">
        <v>154.91</v>
      </c>
      <c r="H29" s="73">
        <f t="shared" si="15"/>
        <v>189.71827699999997</v>
      </c>
      <c r="I29" s="77">
        <f t="shared" si="16"/>
        <v>1179.9184879999998</v>
      </c>
      <c r="J29" s="142">
        <f t="shared" si="17"/>
        <v>1445.0461722535997</v>
      </c>
      <c r="K29" s="149"/>
    </row>
    <row r="30" spans="1:14" s="151" customFormat="1" ht="45" x14ac:dyDescent="0.25">
      <c r="A30" s="239" t="s">
        <v>51</v>
      </c>
      <c r="B30" s="69" t="s">
        <v>369</v>
      </c>
      <c r="C30" s="69" t="s">
        <v>6</v>
      </c>
      <c r="D30" s="33" t="s">
        <v>368</v>
      </c>
      <c r="E30" s="70" t="s">
        <v>107</v>
      </c>
      <c r="F30" s="70">
        <f>MC!J66</f>
        <v>9.4500000000000011</v>
      </c>
      <c r="G30" s="76">
        <v>13.63</v>
      </c>
      <c r="H30" s="73">
        <f t="shared" si="15"/>
        <v>16.692661000000001</v>
      </c>
      <c r="I30" s="77">
        <f t="shared" si="16"/>
        <v>128.80350000000001</v>
      </c>
      <c r="J30" s="142">
        <f t="shared" si="17"/>
        <v>157.74564645000004</v>
      </c>
      <c r="K30" s="149"/>
    </row>
    <row r="31" spans="1:14" s="151" customFormat="1" ht="30" x14ac:dyDescent="0.25">
      <c r="A31" s="239" t="s">
        <v>692</v>
      </c>
      <c r="B31" s="69" t="s">
        <v>370</v>
      </c>
      <c r="C31" s="69" t="s">
        <v>156</v>
      </c>
      <c r="D31" s="33" t="s">
        <v>342</v>
      </c>
      <c r="E31" s="70" t="s">
        <v>144</v>
      </c>
      <c r="F31" s="70">
        <f>MC!$J$74</f>
        <v>144</v>
      </c>
      <c r="G31" s="76">
        <f>CPU!H13</f>
        <v>20.41</v>
      </c>
      <c r="H31" s="73">
        <f t="shared" si="15"/>
        <v>24.996126999999998</v>
      </c>
      <c r="I31" s="77">
        <f t="shared" si="16"/>
        <v>2939.04</v>
      </c>
      <c r="J31" s="142">
        <f t="shared" si="17"/>
        <v>3599.4422879999997</v>
      </c>
      <c r="K31" s="149"/>
    </row>
    <row r="32" spans="1:14" s="151" customFormat="1" x14ac:dyDescent="0.25">
      <c r="A32" s="239" t="s">
        <v>481</v>
      </c>
      <c r="B32" s="69" t="s">
        <v>371</v>
      </c>
      <c r="C32" s="69" t="s">
        <v>156</v>
      </c>
      <c r="D32" s="33" t="s">
        <v>328</v>
      </c>
      <c r="E32" s="69" t="s">
        <v>144</v>
      </c>
      <c r="F32" s="70">
        <f>MC!$J$88</f>
        <v>22</v>
      </c>
      <c r="G32" s="71">
        <f>CPU!H16</f>
        <v>40.82</v>
      </c>
      <c r="H32" s="73">
        <f t="shared" si="15"/>
        <v>49.992253999999996</v>
      </c>
      <c r="I32" s="77">
        <f t="shared" si="16"/>
        <v>898.04</v>
      </c>
      <c r="J32" s="142">
        <f t="shared" si="17"/>
        <v>1099.8295879999998</v>
      </c>
      <c r="K32" s="149"/>
    </row>
    <row r="33" spans="1:32" s="151" customFormat="1" ht="30" x14ac:dyDescent="0.25">
      <c r="A33" s="239" t="s">
        <v>294</v>
      </c>
      <c r="B33" s="69" t="s">
        <v>373</v>
      </c>
      <c r="C33" s="69" t="s">
        <v>6</v>
      </c>
      <c r="D33" s="33" t="s">
        <v>372</v>
      </c>
      <c r="E33" s="69" t="s">
        <v>107</v>
      </c>
      <c r="F33" s="70">
        <f>MC!$J$93</f>
        <v>361.73999999999995</v>
      </c>
      <c r="G33" s="62">
        <v>8.9700000000000006</v>
      </c>
      <c r="H33" s="73">
        <f t="shared" si="15"/>
        <v>10.985559</v>
      </c>
      <c r="I33" s="77">
        <f t="shared" si="16"/>
        <v>3244.8077999999996</v>
      </c>
      <c r="J33" s="142">
        <f t="shared" si="17"/>
        <v>3973.9161126599997</v>
      </c>
      <c r="K33" s="149"/>
    </row>
    <row r="34" spans="1:32" s="151" customFormat="1" ht="30" x14ac:dyDescent="0.25">
      <c r="A34" s="239" t="s">
        <v>693</v>
      </c>
      <c r="B34" s="69" t="s">
        <v>10</v>
      </c>
      <c r="C34" s="69" t="s">
        <v>6</v>
      </c>
      <c r="D34" s="33" t="s">
        <v>374</v>
      </c>
      <c r="E34" s="69" t="s">
        <v>143</v>
      </c>
      <c r="F34" s="70">
        <f>MC!$J$108</f>
        <v>379.81000000000006</v>
      </c>
      <c r="G34" s="76">
        <v>2.79</v>
      </c>
      <c r="H34" s="73">
        <f t="shared" si="15"/>
        <v>3.4169129999999996</v>
      </c>
      <c r="I34" s="77">
        <f t="shared" si="16"/>
        <v>1059.6699000000001</v>
      </c>
      <c r="J34" s="142">
        <f t="shared" si="17"/>
        <v>1297.7777265300001</v>
      </c>
      <c r="K34" s="149"/>
    </row>
    <row r="35" spans="1:32" s="151" customFormat="1" ht="45" x14ac:dyDescent="0.25">
      <c r="A35" s="239" t="s">
        <v>482</v>
      </c>
      <c r="B35" s="69" t="s">
        <v>376</v>
      </c>
      <c r="C35" s="69" t="s">
        <v>6</v>
      </c>
      <c r="D35" s="33" t="s">
        <v>375</v>
      </c>
      <c r="E35" s="69" t="s">
        <v>143</v>
      </c>
      <c r="F35" s="70">
        <f>MC!$J$124</f>
        <v>2.73</v>
      </c>
      <c r="G35" s="71">
        <v>8.3000000000000007</v>
      </c>
      <c r="H35" s="73">
        <f t="shared" si="15"/>
        <v>10.165010000000001</v>
      </c>
      <c r="I35" s="77">
        <f t="shared" si="16"/>
        <v>22.659000000000002</v>
      </c>
      <c r="J35" s="142">
        <f t="shared" si="17"/>
        <v>27.7504773</v>
      </c>
      <c r="K35" s="149"/>
    </row>
    <row r="36" spans="1:32" s="151" customFormat="1" x14ac:dyDescent="0.25">
      <c r="A36" s="239" t="s">
        <v>295</v>
      </c>
      <c r="B36" s="69" t="s">
        <v>381</v>
      </c>
      <c r="C36" s="69" t="s">
        <v>156</v>
      </c>
      <c r="D36" s="33" t="s">
        <v>868</v>
      </c>
      <c r="E36" s="69" t="s">
        <v>144</v>
      </c>
      <c r="F36" s="70">
        <f>MC!J127</f>
        <v>1</v>
      </c>
      <c r="G36" s="71">
        <f>CPU!H19</f>
        <v>55.74</v>
      </c>
      <c r="H36" s="73">
        <f t="shared" si="15"/>
        <v>68.264777999999993</v>
      </c>
      <c r="I36" s="77">
        <f t="shared" si="16"/>
        <v>55.74</v>
      </c>
      <c r="J36" s="142">
        <f t="shared" si="17"/>
        <v>68.264777999999993</v>
      </c>
      <c r="K36" s="149"/>
    </row>
    <row r="37" spans="1:32" s="151" customFormat="1" x14ac:dyDescent="0.25">
      <c r="A37" s="163"/>
      <c r="B37" s="164"/>
      <c r="C37" s="164"/>
      <c r="D37" s="164"/>
      <c r="E37" s="164"/>
      <c r="F37" s="164"/>
      <c r="G37" s="164"/>
      <c r="H37" s="164"/>
      <c r="I37" s="164"/>
      <c r="J37" s="165"/>
      <c r="K37" s="149"/>
    </row>
    <row r="38" spans="1:32" s="3" customFormat="1" x14ac:dyDescent="0.25">
      <c r="A38" s="140">
        <v>4</v>
      </c>
      <c r="B38" s="5"/>
      <c r="C38" s="5"/>
      <c r="D38" s="5" t="s">
        <v>12</v>
      </c>
      <c r="E38" s="5"/>
      <c r="F38" s="6"/>
      <c r="G38" s="7"/>
      <c r="H38" s="7"/>
      <c r="I38" s="80">
        <f>SUM(I39:I41)</f>
        <v>14150.838896000003</v>
      </c>
      <c r="J38" s="80">
        <f>SUM(J39:J41)</f>
        <v>17330.532395931205</v>
      </c>
      <c r="K38" s="90"/>
      <c r="N38" s="57"/>
    </row>
    <row r="39" spans="1:32" s="151" customFormat="1" ht="30" x14ac:dyDescent="0.25">
      <c r="A39" s="141" t="s">
        <v>52</v>
      </c>
      <c r="B39" s="69" t="s">
        <v>13</v>
      </c>
      <c r="C39" s="69" t="s">
        <v>6</v>
      </c>
      <c r="D39" s="33" t="s">
        <v>101</v>
      </c>
      <c r="E39" s="69" t="s">
        <v>107</v>
      </c>
      <c r="F39" s="70">
        <f>MC!$J$131</f>
        <v>373.54000000000008</v>
      </c>
      <c r="G39" s="71">
        <v>33.65</v>
      </c>
      <c r="H39" s="73">
        <f t="shared" ref="H39:H41" si="18">G39*(1+$J$2)</f>
        <v>41.211154999999998</v>
      </c>
      <c r="I39" s="77">
        <f t="shared" ref="I39:I41" si="19">G39*F39</f>
        <v>12569.621000000003</v>
      </c>
      <c r="J39" s="142">
        <f t="shared" ref="J39:J41" si="20">H39*F39</f>
        <v>15394.014838700003</v>
      </c>
      <c r="K39" s="149"/>
    </row>
    <row r="40" spans="1:32" s="151" customFormat="1" ht="30" x14ac:dyDescent="0.25">
      <c r="A40" s="141" t="s">
        <v>483</v>
      </c>
      <c r="B40" s="69" t="s">
        <v>378</v>
      </c>
      <c r="C40" s="69" t="s">
        <v>6</v>
      </c>
      <c r="D40" s="33" t="s">
        <v>377</v>
      </c>
      <c r="E40" s="69" t="s">
        <v>107</v>
      </c>
      <c r="F40" s="70">
        <f>MC!$J$148</f>
        <v>5.9891999999999994</v>
      </c>
      <c r="G40" s="71">
        <v>35.380000000000003</v>
      </c>
      <c r="H40" s="73">
        <f t="shared" si="18"/>
        <v>43.329886000000002</v>
      </c>
      <c r="I40" s="77">
        <f t="shared" si="19"/>
        <v>211.897896</v>
      </c>
      <c r="J40" s="142">
        <f t="shared" si="20"/>
        <v>259.51135323119996</v>
      </c>
      <c r="K40" s="149"/>
    </row>
    <row r="41" spans="1:32" s="151" customFormat="1" x14ac:dyDescent="0.25">
      <c r="A41" s="141" t="s">
        <v>683</v>
      </c>
      <c r="B41" s="69" t="s">
        <v>382</v>
      </c>
      <c r="C41" s="69" t="s">
        <v>156</v>
      </c>
      <c r="D41" s="33" t="s">
        <v>684</v>
      </c>
      <c r="E41" s="69" t="s">
        <v>474</v>
      </c>
      <c r="F41" s="70">
        <f>MC!J151</f>
        <v>12</v>
      </c>
      <c r="G41" s="71">
        <f>CPU!H22</f>
        <v>114.10999999999999</v>
      </c>
      <c r="H41" s="73">
        <f t="shared" si="18"/>
        <v>139.75051699999997</v>
      </c>
      <c r="I41" s="77">
        <f t="shared" si="19"/>
        <v>1369.3199999999997</v>
      </c>
      <c r="J41" s="142">
        <f t="shared" si="20"/>
        <v>1677.0062039999998</v>
      </c>
      <c r="K41" s="149"/>
    </row>
    <row r="42" spans="1:32" s="151" customFormat="1" x14ac:dyDescent="0.25">
      <c r="A42" s="163"/>
      <c r="B42" s="164"/>
      <c r="C42" s="164"/>
      <c r="D42" s="164"/>
      <c r="E42" s="164"/>
      <c r="F42" s="164"/>
      <c r="G42" s="164"/>
      <c r="H42" s="164"/>
      <c r="I42" s="164"/>
      <c r="J42" s="165"/>
      <c r="K42" s="149"/>
    </row>
    <row r="43" spans="1:32" s="3" customFormat="1" x14ac:dyDescent="0.25">
      <c r="A43" s="140">
        <v>5</v>
      </c>
      <c r="B43" s="5"/>
      <c r="C43" s="5"/>
      <c r="D43" s="5" t="s">
        <v>14</v>
      </c>
      <c r="E43" s="5"/>
      <c r="F43" s="6"/>
      <c r="G43" s="7"/>
      <c r="H43" s="7"/>
      <c r="I43" s="80">
        <f ca="1">SUM(I44:I54)</f>
        <v>106788.33710926316</v>
      </c>
      <c r="J43" s="80">
        <f ca="1">SUM(J44:J54)</f>
        <v>130783.67645771461</v>
      </c>
      <c r="K43" s="90"/>
      <c r="N43" s="57"/>
    </row>
    <row r="44" spans="1:32" s="151" customFormat="1" ht="30" x14ac:dyDescent="0.25">
      <c r="A44" s="141" t="s">
        <v>53</v>
      </c>
      <c r="B44" s="69" t="s">
        <v>16</v>
      </c>
      <c r="C44" s="69" t="s">
        <v>6</v>
      </c>
      <c r="D44" s="33" t="s">
        <v>379</v>
      </c>
      <c r="E44" s="69" t="s">
        <v>107</v>
      </c>
      <c r="F44" s="70">
        <f>MC!J155</f>
        <v>3.3150999999999997</v>
      </c>
      <c r="G44" s="243">
        <v>54.86</v>
      </c>
      <c r="H44" s="73">
        <f t="shared" ref="H44" si="21">G44*(1+$J$2)</f>
        <v>67.187041999999991</v>
      </c>
      <c r="I44" s="77">
        <f t="shared" ref="I44" si="22">G44*F44</f>
        <v>181.86638599999998</v>
      </c>
      <c r="J44" s="142">
        <f t="shared" ref="J44" si="23">H44*F44</f>
        <v>222.73176293419996</v>
      </c>
      <c r="K44" s="149"/>
    </row>
    <row r="45" spans="1:32" s="151" customFormat="1" ht="30" x14ac:dyDescent="0.25">
      <c r="A45" s="141" t="s">
        <v>484</v>
      </c>
      <c r="B45" s="69">
        <v>96123</v>
      </c>
      <c r="C45" s="69" t="s">
        <v>17</v>
      </c>
      <c r="D45" s="33" t="s">
        <v>380</v>
      </c>
      <c r="E45" s="69" t="s">
        <v>143</v>
      </c>
      <c r="F45" s="70">
        <f>MC!$J$163</f>
        <v>33.679999999999993</v>
      </c>
      <c r="G45" s="71">
        <v>28.51</v>
      </c>
      <c r="H45" s="73">
        <f t="shared" ref="H45:H54" si="24">G45*(1+$J$2)</f>
        <v>34.916196999999997</v>
      </c>
      <c r="I45" s="77">
        <f t="shared" ref="I45:I54" si="25">G45*F45</f>
        <v>960.21679999999981</v>
      </c>
      <c r="J45" s="142">
        <f t="shared" ref="J45:J54" si="26">H45*F45</f>
        <v>1175.9775149599996</v>
      </c>
      <c r="K45" s="149"/>
    </row>
    <row r="46" spans="1:32" s="151" customFormat="1" x14ac:dyDescent="0.25">
      <c r="A46" s="141" t="s">
        <v>54</v>
      </c>
      <c r="B46" s="69" t="s">
        <v>383</v>
      </c>
      <c r="C46" s="69" t="s">
        <v>156</v>
      </c>
      <c r="D46" s="33" t="s">
        <v>291</v>
      </c>
      <c r="E46" s="69" t="s">
        <v>143</v>
      </c>
      <c r="F46" s="70">
        <f>MC!$J$173</f>
        <v>33.679999999999993</v>
      </c>
      <c r="G46" s="71">
        <f>CPU!$H$29</f>
        <v>39.065982000000005</v>
      </c>
      <c r="H46" s="73">
        <f t="shared" si="24"/>
        <v>47.844108155400001</v>
      </c>
      <c r="I46" s="77">
        <f t="shared" si="25"/>
        <v>1315.74227376</v>
      </c>
      <c r="J46" s="142">
        <f t="shared" si="26"/>
        <v>1611.3895626738718</v>
      </c>
      <c r="K46" s="149"/>
    </row>
    <row r="47" spans="1:32" s="151" customFormat="1" x14ac:dyDescent="0.25">
      <c r="A47" s="141" t="s">
        <v>55</v>
      </c>
      <c r="B47" s="69">
        <v>96374</v>
      </c>
      <c r="C47" s="69" t="s">
        <v>17</v>
      </c>
      <c r="D47" s="33" t="s">
        <v>649</v>
      </c>
      <c r="E47" s="69" t="s">
        <v>143</v>
      </c>
      <c r="F47" s="70">
        <f>MC!$J$183</f>
        <v>11.04</v>
      </c>
      <c r="G47" s="71">
        <v>39.06</v>
      </c>
      <c r="H47" s="73">
        <f t="shared" si="24"/>
        <v>47.836781999999999</v>
      </c>
      <c r="I47" s="77">
        <f t="shared" si="25"/>
        <v>431.22239999999999</v>
      </c>
      <c r="J47" s="142">
        <f t="shared" si="26"/>
        <v>528.11807327999998</v>
      </c>
      <c r="K47" s="149"/>
    </row>
    <row r="48" spans="1:32" s="152" customFormat="1" ht="30" x14ac:dyDescent="0.25">
      <c r="A48" s="141" t="s">
        <v>56</v>
      </c>
      <c r="B48" s="69" t="s">
        <v>833</v>
      </c>
      <c r="C48" s="69" t="s">
        <v>156</v>
      </c>
      <c r="D48" s="33" t="s">
        <v>475</v>
      </c>
      <c r="E48" s="69" t="s">
        <v>107</v>
      </c>
      <c r="F48" s="70">
        <f>MC!$J$186</f>
        <v>419.07000000000011</v>
      </c>
      <c r="G48" s="71">
        <f ca="1">CPU!$H$35</f>
        <v>168.26153671830986</v>
      </c>
      <c r="H48" s="73">
        <f t="shared" ca="1" si="24"/>
        <v>206.06990401891406</v>
      </c>
      <c r="I48" s="77">
        <f t="shared" ca="1" si="25"/>
        <v>70513.362192542132</v>
      </c>
      <c r="J48" s="142">
        <f t="shared" ca="1" si="26"/>
        <v>86357.714677206342</v>
      </c>
      <c r="K48" s="149"/>
      <c r="L48" s="151"/>
      <c r="M48" s="151"/>
      <c r="N48" s="151"/>
      <c r="O48" s="151"/>
      <c r="P48" s="151"/>
      <c r="Q48" s="151"/>
      <c r="R48" s="151"/>
      <c r="S48" s="151"/>
      <c r="T48" s="151"/>
      <c r="U48" s="151"/>
      <c r="V48" s="151"/>
      <c r="W48" s="151"/>
      <c r="X48" s="151"/>
      <c r="Y48" s="151"/>
      <c r="Z48" s="151"/>
      <c r="AA48" s="151"/>
      <c r="AB48" s="151"/>
      <c r="AC48" s="151"/>
      <c r="AD48" s="151"/>
      <c r="AE48" s="151"/>
      <c r="AF48" s="151"/>
    </row>
    <row r="49" spans="1:32" s="152" customFormat="1" ht="30" x14ac:dyDescent="0.25">
      <c r="A49" s="141" t="s">
        <v>694</v>
      </c>
      <c r="B49" s="69" t="s">
        <v>963</v>
      </c>
      <c r="C49" s="69" t="s">
        <v>156</v>
      </c>
      <c r="D49" s="33" t="s">
        <v>476</v>
      </c>
      <c r="E49" s="69" t="s">
        <v>107</v>
      </c>
      <c r="F49" s="70">
        <f>MC!$J$199</f>
        <v>83.800000000000011</v>
      </c>
      <c r="G49" s="71">
        <f ca="1">CPU!$H$45</f>
        <v>215.62952394698357</v>
      </c>
      <c r="H49" s="73">
        <f t="shared" ca="1" si="24"/>
        <v>264.08147797787075</v>
      </c>
      <c r="I49" s="77">
        <f t="shared" ca="1" si="25"/>
        <v>18069.754106757224</v>
      </c>
      <c r="J49" s="142">
        <f t="shared" ca="1" si="26"/>
        <v>22130.027854545573</v>
      </c>
      <c r="K49" s="149"/>
      <c r="L49" s="151"/>
      <c r="M49" s="151"/>
      <c r="N49" s="151"/>
      <c r="O49" s="151"/>
      <c r="P49" s="151"/>
      <c r="Q49" s="151"/>
      <c r="R49" s="151"/>
      <c r="S49" s="151"/>
      <c r="T49" s="151"/>
      <c r="U49" s="151"/>
      <c r="V49" s="151"/>
      <c r="W49" s="151"/>
      <c r="X49" s="151"/>
      <c r="Y49" s="151"/>
      <c r="Z49" s="151"/>
      <c r="AA49" s="151"/>
      <c r="AB49" s="151"/>
      <c r="AC49" s="151"/>
      <c r="AD49" s="151"/>
      <c r="AE49" s="151"/>
      <c r="AF49" s="151"/>
    </row>
    <row r="50" spans="1:32" s="151" customFormat="1" ht="30" x14ac:dyDescent="0.25">
      <c r="A50" s="141" t="s">
        <v>286</v>
      </c>
      <c r="B50" s="69">
        <v>96358</v>
      </c>
      <c r="C50" s="33" t="s">
        <v>17</v>
      </c>
      <c r="D50" s="33" t="s">
        <v>103</v>
      </c>
      <c r="E50" s="69" t="s">
        <v>107</v>
      </c>
      <c r="F50" s="70">
        <f>MC!$J$206</f>
        <v>5.0415999999999999</v>
      </c>
      <c r="G50" s="71">
        <v>93.66</v>
      </c>
      <c r="H50" s="73">
        <f t="shared" si="24"/>
        <v>114.70540199999999</v>
      </c>
      <c r="I50" s="77">
        <f t="shared" si="25"/>
        <v>472.19625599999995</v>
      </c>
      <c r="J50" s="142">
        <f t="shared" si="26"/>
        <v>578.29875472319998</v>
      </c>
      <c r="K50" s="149"/>
    </row>
    <row r="51" spans="1:32" s="151" customFormat="1" ht="30" x14ac:dyDescent="0.25">
      <c r="A51" s="141" t="s">
        <v>695</v>
      </c>
      <c r="B51" s="69">
        <v>96366</v>
      </c>
      <c r="C51" s="69" t="s">
        <v>17</v>
      </c>
      <c r="D51" s="33" t="s">
        <v>102</v>
      </c>
      <c r="E51" s="69" t="s">
        <v>107</v>
      </c>
      <c r="F51" s="70">
        <f>MC!$J$214</f>
        <v>71.152799999999985</v>
      </c>
      <c r="G51" s="71">
        <v>149.94999999999999</v>
      </c>
      <c r="H51" s="73">
        <f t="shared" si="24"/>
        <v>183.64376499999997</v>
      </c>
      <c r="I51" s="77">
        <f t="shared" si="25"/>
        <v>10669.362359999997</v>
      </c>
      <c r="J51" s="142">
        <f t="shared" si="26"/>
        <v>13066.768082291996</v>
      </c>
      <c r="K51" s="149"/>
    </row>
    <row r="52" spans="1:32" s="151" customFormat="1" x14ac:dyDescent="0.25">
      <c r="A52" s="141" t="s">
        <v>289</v>
      </c>
      <c r="B52" s="69" t="s">
        <v>964</v>
      </c>
      <c r="C52" s="69" t="s">
        <v>106</v>
      </c>
      <c r="D52" s="33" t="s">
        <v>104</v>
      </c>
      <c r="E52" s="69" t="s">
        <v>107</v>
      </c>
      <c r="F52" s="70">
        <f>MC!$J$224</f>
        <v>75.908199999999979</v>
      </c>
      <c r="G52" s="71">
        <f ca="1">CPU!$H$55</f>
        <v>44.559037037037037</v>
      </c>
      <c r="H52" s="73">
        <f t="shared" ca="1" si="24"/>
        <v>54.571452659259258</v>
      </c>
      <c r="I52" s="77">
        <f t="shared" ca="1" si="25"/>
        <v>3382.396295214814</v>
      </c>
      <c r="J52" s="142">
        <f t="shared" ca="1" si="26"/>
        <v>4142.4207427495821</v>
      </c>
      <c r="K52" s="149"/>
    </row>
    <row r="53" spans="1:32" s="151" customFormat="1" x14ac:dyDescent="0.25">
      <c r="A53" s="141" t="s">
        <v>296</v>
      </c>
      <c r="B53" s="69" t="s">
        <v>965</v>
      </c>
      <c r="C53" s="69" t="s">
        <v>106</v>
      </c>
      <c r="D53" s="33" t="s">
        <v>297</v>
      </c>
      <c r="E53" s="69" t="s">
        <v>143</v>
      </c>
      <c r="F53" s="70">
        <f>MC!J240</f>
        <v>27.56</v>
      </c>
      <c r="G53" s="71">
        <f ca="1">CPU!$H$60</f>
        <v>2.85955</v>
      </c>
      <c r="H53" s="73">
        <f t="shared" ca="1" si="24"/>
        <v>3.5020908849999999</v>
      </c>
      <c r="I53" s="77">
        <f t="shared" ca="1" si="25"/>
        <v>78.809197999999995</v>
      </c>
      <c r="J53" s="142">
        <f t="shared" ca="1" si="26"/>
        <v>96.517624790599996</v>
      </c>
      <c r="K53" s="149"/>
    </row>
    <row r="54" spans="1:32" s="151" customFormat="1" ht="30" x14ac:dyDescent="0.25">
      <c r="A54" s="141" t="s">
        <v>309</v>
      </c>
      <c r="B54" s="69" t="s">
        <v>966</v>
      </c>
      <c r="C54" s="69" t="s">
        <v>156</v>
      </c>
      <c r="D54" s="33" t="s">
        <v>472</v>
      </c>
      <c r="E54" s="69" t="s">
        <v>107</v>
      </c>
      <c r="F54" s="70">
        <f>MC!J248</f>
        <v>4.7553999999999998</v>
      </c>
      <c r="G54" s="71">
        <f>CPU!H65</f>
        <v>150.02078500000005</v>
      </c>
      <c r="H54" s="73">
        <f t="shared" si="24"/>
        <v>183.73045538950004</v>
      </c>
      <c r="I54" s="77">
        <f t="shared" si="25"/>
        <v>713.40884098900017</v>
      </c>
      <c r="J54" s="142">
        <f t="shared" si="26"/>
        <v>873.71180755922842</v>
      </c>
      <c r="K54" s="244"/>
    </row>
    <row r="55" spans="1:32" s="151" customFormat="1" x14ac:dyDescent="0.25">
      <c r="A55" s="163"/>
      <c r="B55" s="164"/>
      <c r="C55" s="164"/>
      <c r="D55" s="164"/>
      <c r="E55" s="164"/>
      <c r="F55" s="164"/>
      <c r="G55" s="164"/>
      <c r="H55" s="164"/>
      <c r="I55" s="164"/>
      <c r="J55" s="165"/>
      <c r="K55" s="149"/>
    </row>
    <row r="56" spans="1:32" s="3" customFormat="1" x14ac:dyDescent="0.25">
      <c r="A56" s="140">
        <v>6</v>
      </c>
      <c r="B56" s="5"/>
      <c r="C56" s="5"/>
      <c r="D56" s="5" t="s">
        <v>138</v>
      </c>
      <c r="E56" s="5"/>
      <c r="F56" s="6"/>
      <c r="G56" s="7"/>
      <c r="H56" s="7"/>
      <c r="I56" s="80">
        <f ca="1">SUM(I57:I58)</f>
        <v>57292.217982100017</v>
      </c>
      <c r="J56" s="80">
        <f ca="1">SUM(J57:J58)</f>
        <v>70165.779362677888</v>
      </c>
      <c r="K56" s="90"/>
      <c r="N56" s="57"/>
    </row>
    <row r="57" spans="1:32" s="151" customFormat="1" ht="30" x14ac:dyDescent="0.25">
      <c r="A57" s="141" t="s">
        <v>57</v>
      </c>
      <c r="B57" s="69" t="s">
        <v>967</v>
      </c>
      <c r="C57" s="69" t="s">
        <v>106</v>
      </c>
      <c r="D57" s="33" t="s">
        <v>477</v>
      </c>
      <c r="E57" s="69" t="s">
        <v>107</v>
      </c>
      <c r="F57" s="70">
        <f>MC!$J$256</f>
        <v>373.54000000000008</v>
      </c>
      <c r="G57" s="71">
        <f ca="1">CPU!$H$79</f>
        <v>139.27485000000001</v>
      </c>
      <c r="H57" s="73">
        <f t="shared" ref="H57:H58" ca="1" si="27">G57*(1+$J$2)</f>
        <v>170.569908795</v>
      </c>
      <c r="I57" s="77">
        <f t="shared" ref="I57:I58" ca="1" si="28">G57*F57</f>
        <v>52024.727469000019</v>
      </c>
      <c r="J57" s="142">
        <f t="shared" ref="J57:J58" ca="1" si="29">H57*F57</f>
        <v>63714.683731284313</v>
      </c>
      <c r="K57" s="149"/>
    </row>
    <row r="58" spans="1:32" s="151" customFormat="1" ht="30" x14ac:dyDescent="0.25">
      <c r="A58" s="141" t="s">
        <v>1024</v>
      </c>
      <c r="B58" s="69" t="s">
        <v>968</v>
      </c>
      <c r="C58" s="69" t="s">
        <v>106</v>
      </c>
      <c r="D58" s="33" t="s">
        <v>478</v>
      </c>
      <c r="E58" s="69" t="s">
        <v>143</v>
      </c>
      <c r="F58" s="70">
        <f>MC!$J$273</f>
        <v>310.29999999999995</v>
      </c>
      <c r="G58" s="71">
        <f>CPU!$H$85</f>
        <v>16.975477000000001</v>
      </c>
      <c r="H58" s="73">
        <f t="shared" si="27"/>
        <v>20.789866681900001</v>
      </c>
      <c r="I58" s="77">
        <f t="shared" si="28"/>
        <v>5267.4905130999996</v>
      </c>
      <c r="J58" s="142">
        <f t="shared" si="29"/>
        <v>6451.0956313935694</v>
      </c>
      <c r="K58" s="149"/>
    </row>
    <row r="59" spans="1:32" s="151" customFormat="1" x14ac:dyDescent="0.25">
      <c r="A59" s="168"/>
      <c r="B59" s="169"/>
      <c r="C59" s="169"/>
      <c r="D59" s="169"/>
      <c r="E59" s="169"/>
      <c r="F59" s="169"/>
      <c r="G59" s="169"/>
      <c r="H59" s="169"/>
      <c r="I59" s="169"/>
      <c r="J59" s="165"/>
      <c r="K59" s="149"/>
    </row>
    <row r="60" spans="1:32" s="3" customFormat="1" x14ac:dyDescent="0.25">
      <c r="A60" s="140">
        <v>7</v>
      </c>
      <c r="B60" s="5"/>
      <c r="C60" s="5"/>
      <c r="D60" s="5" t="s">
        <v>150</v>
      </c>
      <c r="E60" s="5"/>
      <c r="F60" s="6"/>
      <c r="G60" s="7"/>
      <c r="H60" s="7"/>
      <c r="I60" s="4">
        <f ca="1">SUM(I61,I64,I72,I84,I92,I103,I119)</f>
        <v>79833.840800000005</v>
      </c>
      <c r="J60" s="4">
        <f ca="1">SUM(J61,J64,J72,J84,J92,J103,J119)</f>
        <v>97772.50482776</v>
      </c>
      <c r="K60" s="90"/>
      <c r="N60" s="57"/>
    </row>
    <row r="61" spans="1:32" s="180" customFormat="1" x14ac:dyDescent="0.25">
      <c r="A61" s="173" t="s">
        <v>146</v>
      </c>
      <c r="B61" s="174"/>
      <c r="C61" s="174"/>
      <c r="D61" s="174" t="s">
        <v>421</v>
      </c>
      <c r="E61" s="174"/>
      <c r="F61" s="175"/>
      <c r="G61" s="176"/>
      <c r="H61" s="176"/>
      <c r="I61" s="177">
        <f>SUM(I62:I63)</f>
        <v>443.43000000000006</v>
      </c>
      <c r="J61" s="177">
        <f>SUM(J62:J63)</f>
        <v>543.06872099999998</v>
      </c>
      <c r="K61" s="179"/>
      <c r="N61" s="181"/>
    </row>
    <row r="62" spans="1:32" s="151" customFormat="1" x14ac:dyDescent="0.25">
      <c r="A62" s="141" t="s">
        <v>485</v>
      </c>
      <c r="B62" s="69">
        <v>90456</v>
      </c>
      <c r="C62" s="69" t="s">
        <v>17</v>
      </c>
      <c r="D62" s="33" t="s">
        <v>455</v>
      </c>
      <c r="E62" s="69" t="s">
        <v>144</v>
      </c>
      <c r="F62" s="70">
        <f>F120</f>
        <v>75</v>
      </c>
      <c r="G62" s="71">
        <v>5.44</v>
      </c>
      <c r="H62" s="73">
        <f t="shared" ref="H62:H63" si="30">G62*(1+$J$2)</f>
        <v>6.6623679999999998</v>
      </c>
      <c r="I62" s="77">
        <f t="shared" ref="I62:I63" si="31">G62*F62</f>
        <v>408.00000000000006</v>
      </c>
      <c r="J62" s="142">
        <f t="shared" ref="J62:J63" si="32">H62*F62</f>
        <v>499.67759999999998</v>
      </c>
      <c r="K62" s="149"/>
    </row>
    <row r="63" spans="1:32" s="151" customFormat="1" ht="30" x14ac:dyDescent="0.25">
      <c r="A63" s="141" t="s">
        <v>486</v>
      </c>
      <c r="B63" s="69">
        <v>90458</v>
      </c>
      <c r="C63" s="69" t="s">
        <v>17</v>
      </c>
      <c r="D63" s="33" t="s">
        <v>422</v>
      </c>
      <c r="E63" s="69" t="s">
        <v>144</v>
      </c>
      <c r="F63" s="70">
        <v>1</v>
      </c>
      <c r="G63" s="71">
        <v>35.43</v>
      </c>
      <c r="H63" s="73">
        <f t="shared" si="30"/>
        <v>43.391120999999998</v>
      </c>
      <c r="I63" s="77">
        <f t="shared" si="31"/>
        <v>35.43</v>
      </c>
      <c r="J63" s="142">
        <f t="shared" si="32"/>
        <v>43.391120999999998</v>
      </c>
      <c r="K63" s="149"/>
    </row>
    <row r="64" spans="1:32" s="180" customFormat="1" x14ac:dyDescent="0.25">
      <c r="A64" s="173" t="s">
        <v>147</v>
      </c>
      <c r="B64" s="174"/>
      <c r="C64" s="174"/>
      <c r="D64" s="174" t="s">
        <v>894</v>
      </c>
      <c r="E64" s="174"/>
      <c r="F64" s="182"/>
      <c r="G64" s="176"/>
      <c r="H64" s="176"/>
      <c r="I64" s="177">
        <f ca="1">SUM(I65:I71)</f>
        <v>6090.5810000000001</v>
      </c>
      <c r="J64" s="177">
        <f ca="1">SUM(J65:J71)</f>
        <v>7459.1345506999996</v>
      </c>
      <c r="K64" s="179"/>
      <c r="N64" s="181"/>
    </row>
    <row r="65" spans="1:14" s="151" customFormat="1" ht="30" x14ac:dyDescent="0.25">
      <c r="A65" s="141" t="s">
        <v>487</v>
      </c>
      <c r="B65" s="69" t="s">
        <v>437</v>
      </c>
      <c r="C65" s="69" t="s">
        <v>6</v>
      </c>
      <c r="D65" s="33" t="s">
        <v>669</v>
      </c>
      <c r="E65" s="69" t="s">
        <v>143</v>
      </c>
      <c r="F65" s="70">
        <f>2*3</f>
        <v>6</v>
      </c>
      <c r="G65" s="71">
        <v>49.01</v>
      </c>
      <c r="H65" s="73">
        <f t="shared" ref="H65" si="33">G65*(1+$J$2)</f>
        <v>60.022546999999996</v>
      </c>
      <c r="I65" s="77">
        <f t="shared" ref="I65" si="34">G65*F65</f>
        <v>294.06</v>
      </c>
      <c r="J65" s="142">
        <f t="shared" ref="J65" si="35">H65*F65</f>
        <v>360.13528199999996</v>
      </c>
      <c r="K65" s="149"/>
    </row>
    <row r="66" spans="1:14" s="151" customFormat="1" ht="30" x14ac:dyDescent="0.25">
      <c r="A66" s="141" t="s">
        <v>488</v>
      </c>
      <c r="B66" s="69">
        <v>92988</v>
      </c>
      <c r="C66" s="69" t="s">
        <v>17</v>
      </c>
      <c r="D66" s="33" t="s">
        <v>895</v>
      </c>
      <c r="E66" s="69" t="s">
        <v>143</v>
      </c>
      <c r="F66" s="70">
        <f>18*2</f>
        <v>36</v>
      </c>
      <c r="G66" s="71">
        <v>55.06</v>
      </c>
      <c r="H66" s="73">
        <f t="shared" ref="H66:H71" si="36">G66*(1+$J$2)</f>
        <v>67.431981999999991</v>
      </c>
      <c r="I66" s="77">
        <f t="shared" ref="I66:I71" si="37">G66*F66</f>
        <v>1982.16</v>
      </c>
      <c r="J66" s="142">
        <f t="shared" ref="J66:J71" si="38">H66*F66</f>
        <v>2427.5513519999995</v>
      </c>
      <c r="K66" s="149"/>
    </row>
    <row r="67" spans="1:14" s="151" customFormat="1" ht="30" x14ac:dyDescent="0.25">
      <c r="A67" s="141" t="s">
        <v>1025</v>
      </c>
      <c r="B67" s="69">
        <v>91934</v>
      </c>
      <c r="C67" s="69" t="s">
        <v>17</v>
      </c>
      <c r="D67" s="33" t="s">
        <v>896</v>
      </c>
      <c r="E67" s="69" t="s">
        <v>143</v>
      </c>
      <c r="F67" s="70">
        <f>18</f>
        <v>18</v>
      </c>
      <c r="G67" s="71">
        <v>27.44</v>
      </c>
      <c r="H67" s="73">
        <f t="shared" si="36"/>
        <v>33.605767999999998</v>
      </c>
      <c r="I67" s="77">
        <f t="shared" si="37"/>
        <v>493.92</v>
      </c>
      <c r="J67" s="142">
        <f t="shared" si="38"/>
        <v>604.90382399999999</v>
      </c>
      <c r="K67" s="149"/>
    </row>
    <row r="68" spans="1:14" s="151" customFormat="1" ht="30" x14ac:dyDescent="0.25">
      <c r="A68" s="141" t="s">
        <v>489</v>
      </c>
      <c r="B68" s="69" t="s">
        <v>898</v>
      </c>
      <c r="C68" s="69" t="s">
        <v>6</v>
      </c>
      <c r="D68" s="33" t="s">
        <v>897</v>
      </c>
      <c r="E68" s="69" t="s">
        <v>144</v>
      </c>
      <c r="F68" s="70">
        <v>1</v>
      </c>
      <c r="G68" s="71">
        <v>74.55</v>
      </c>
      <c r="H68" s="73">
        <f t="shared" si="36"/>
        <v>91.301384999999982</v>
      </c>
      <c r="I68" s="77">
        <f t="shared" si="37"/>
        <v>74.55</v>
      </c>
      <c r="J68" s="142">
        <f t="shared" si="38"/>
        <v>91.301384999999982</v>
      </c>
      <c r="K68" s="149"/>
    </row>
    <row r="69" spans="1:14" s="151" customFormat="1" x14ac:dyDescent="0.25">
      <c r="A69" s="141" t="s">
        <v>490</v>
      </c>
      <c r="B69" s="69" t="s">
        <v>969</v>
      </c>
      <c r="C69" s="69" t="s">
        <v>156</v>
      </c>
      <c r="D69" s="33" t="s">
        <v>945</v>
      </c>
      <c r="E69" s="69" t="s">
        <v>144</v>
      </c>
      <c r="F69" s="70">
        <v>2</v>
      </c>
      <c r="G69" s="71">
        <f ca="1">CPU!$H$91</f>
        <v>16.877499999999998</v>
      </c>
      <c r="H69" s="73">
        <f t="shared" ca="1" si="36"/>
        <v>20.669874249999996</v>
      </c>
      <c r="I69" s="77">
        <f t="shared" ca="1" si="37"/>
        <v>33.754999999999995</v>
      </c>
      <c r="J69" s="142">
        <f t="shared" ca="1" si="38"/>
        <v>41.339748499999992</v>
      </c>
      <c r="K69" s="149"/>
    </row>
    <row r="70" spans="1:14" s="151" customFormat="1" x14ac:dyDescent="0.25">
      <c r="A70" s="141" t="s">
        <v>1026</v>
      </c>
      <c r="B70" s="69">
        <v>9427</v>
      </c>
      <c r="C70" s="69" t="s">
        <v>140</v>
      </c>
      <c r="D70" s="33" t="s">
        <v>949</v>
      </c>
      <c r="E70" s="69" t="s">
        <v>144</v>
      </c>
      <c r="F70" s="70">
        <v>6</v>
      </c>
      <c r="G70" s="71">
        <v>5.52</v>
      </c>
      <c r="H70" s="73">
        <f t="shared" si="36"/>
        <v>6.760343999999999</v>
      </c>
      <c r="I70" s="77">
        <f t="shared" si="37"/>
        <v>33.119999999999997</v>
      </c>
      <c r="J70" s="142">
        <f t="shared" si="38"/>
        <v>40.562063999999992</v>
      </c>
      <c r="K70" s="149"/>
    </row>
    <row r="71" spans="1:14" s="151" customFormat="1" ht="29.25" customHeight="1" x14ac:dyDescent="0.25">
      <c r="A71" s="141" t="s">
        <v>1027</v>
      </c>
      <c r="B71" s="69" t="s">
        <v>834</v>
      </c>
      <c r="C71" s="69" t="s">
        <v>156</v>
      </c>
      <c r="D71" s="33" t="s">
        <v>419</v>
      </c>
      <c r="E71" s="69" t="s">
        <v>144</v>
      </c>
      <c r="F71" s="70">
        <v>24</v>
      </c>
      <c r="G71" s="71">
        <f>CPU!$H$96</f>
        <v>132.459</v>
      </c>
      <c r="H71" s="73">
        <f t="shared" si="36"/>
        <v>162.2225373</v>
      </c>
      <c r="I71" s="77">
        <f t="shared" si="37"/>
        <v>3179.0160000000001</v>
      </c>
      <c r="J71" s="142">
        <f t="shared" si="38"/>
        <v>3893.3408952</v>
      </c>
      <c r="K71" s="149"/>
    </row>
    <row r="72" spans="1:14" s="180" customFormat="1" x14ac:dyDescent="0.25">
      <c r="A72" s="173" t="s">
        <v>148</v>
      </c>
      <c r="B72" s="174"/>
      <c r="C72" s="174"/>
      <c r="D72" s="174" t="s">
        <v>420</v>
      </c>
      <c r="E72" s="174"/>
      <c r="F72" s="175"/>
      <c r="G72" s="176"/>
      <c r="H72" s="176"/>
      <c r="I72" s="177">
        <f ca="1">SUM(I73:I83)</f>
        <v>2745.0232999999998</v>
      </c>
      <c r="J72" s="177">
        <f ca="1">SUM(J73:J83)</f>
        <v>3361.8300355099996</v>
      </c>
      <c r="K72" s="179"/>
      <c r="N72" s="181"/>
    </row>
    <row r="73" spans="1:14" s="151" customFormat="1" ht="45" x14ac:dyDescent="0.25">
      <c r="A73" s="141" t="s">
        <v>491</v>
      </c>
      <c r="B73" s="69">
        <v>101879</v>
      </c>
      <c r="C73" s="69" t="s">
        <v>17</v>
      </c>
      <c r="D73" s="33" t="s">
        <v>423</v>
      </c>
      <c r="E73" s="69" t="s">
        <v>144</v>
      </c>
      <c r="F73" s="70">
        <v>1</v>
      </c>
      <c r="G73" s="71">
        <v>525.55999999999995</v>
      </c>
      <c r="H73" s="73">
        <f t="shared" ref="H73" si="39">G73*(1+$J$2)</f>
        <v>643.65333199999986</v>
      </c>
      <c r="I73" s="77">
        <f t="shared" ref="I73" si="40">G73*F73</f>
        <v>525.55999999999995</v>
      </c>
      <c r="J73" s="142">
        <f t="shared" ref="J73" si="41">H73*F73</f>
        <v>643.65333199999986</v>
      </c>
      <c r="K73" s="149"/>
    </row>
    <row r="74" spans="1:14" s="151" customFormat="1" ht="30" x14ac:dyDescent="0.25">
      <c r="A74" s="141" t="s">
        <v>1028</v>
      </c>
      <c r="B74" s="69">
        <v>93655</v>
      </c>
      <c r="C74" s="69" t="s">
        <v>17</v>
      </c>
      <c r="D74" s="33" t="s">
        <v>899</v>
      </c>
      <c r="E74" s="69" t="s">
        <v>144</v>
      </c>
      <c r="F74" s="70">
        <v>9</v>
      </c>
      <c r="G74" s="71">
        <v>19.309999999999999</v>
      </c>
      <c r="H74" s="73">
        <f t="shared" ref="H74:H83" si="42">G74*(1+$J$2)</f>
        <v>23.648956999999996</v>
      </c>
      <c r="I74" s="77">
        <f t="shared" ref="I74:I83" si="43">G74*F74</f>
        <v>173.79</v>
      </c>
      <c r="J74" s="142">
        <f t="shared" ref="J74:J83" si="44">H74*F74</f>
        <v>212.84061299999996</v>
      </c>
      <c r="K74" s="149"/>
    </row>
    <row r="75" spans="1:14" s="151" customFormat="1" ht="30" x14ac:dyDescent="0.25">
      <c r="A75" s="141" t="s">
        <v>492</v>
      </c>
      <c r="B75" s="69" t="s">
        <v>901</v>
      </c>
      <c r="C75" s="69" t="s">
        <v>6</v>
      </c>
      <c r="D75" s="33" t="s">
        <v>900</v>
      </c>
      <c r="E75" s="69" t="s">
        <v>144</v>
      </c>
      <c r="F75" s="70">
        <v>1</v>
      </c>
      <c r="G75" s="71">
        <v>383.87</v>
      </c>
      <c r="H75" s="73">
        <f t="shared" si="42"/>
        <v>470.12558899999999</v>
      </c>
      <c r="I75" s="77">
        <f t="shared" si="43"/>
        <v>383.87</v>
      </c>
      <c r="J75" s="142">
        <f t="shared" si="44"/>
        <v>470.12558899999999</v>
      </c>
      <c r="K75" s="149"/>
    </row>
    <row r="76" spans="1:14" s="151" customFormat="1" ht="30" x14ac:dyDescent="0.25">
      <c r="A76" s="141" t="s">
        <v>493</v>
      </c>
      <c r="B76" s="69">
        <v>93660</v>
      </c>
      <c r="C76" s="69" t="s">
        <v>17</v>
      </c>
      <c r="D76" s="33" t="s">
        <v>640</v>
      </c>
      <c r="E76" s="69" t="s">
        <v>144</v>
      </c>
      <c r="F76" s="70">
        <v>5</v>
      </c>
      <c r="G76" s="71">
        <v>87.16</v>
      </c>
      <c r="H76" s="73">
        <f t="shared" si="42"/>
        <v>106.74485199999998</v>
      </c>
      <c r="I76" s="77">
        <f t="shared" si="43"/>
        <v>435.79999999999995</v>
      </c>
      <c r="J76" s="142">
        <f t="shared" si="44"/>
        <v>533.72425999999996</v>
      </c>
      <c r="K76" s="149"/>
    </row>
    <row r="77" spans="1:14" s="151" customFormat="1" ht="30" x14ac:dyDescent="0.25">
      <c r="A77" s="141" t="s">
        <v>494</v>
      </c>
      <c r="B77" s="69">
        <v>93662</v>
      </c>
      <c r="C77" s="69" t="s">
        <v>17</v>
      </c>
      <c r="D77" s="33" t="s">
        <v>302</v>
      </c>
      <c r="E77" s="69" t="s">
        <v>144</v>
      </c>
      <c r="F77" s="70">
        <v>2</v>
      </c>
      <c r="G77" s="71">
        <v>91.22</v>
      </c>
      <c r="H77" s="73">
        <f t="shared" si="42"/>
        <v>111.71713399999999</v>
      </c>
      <c r="I77" s="77">
        <f t="shared" si="43"/>
        <v>182.44</v>
      </c>
      <c r="J77" s="142">
        <f t="shared" si="44"/>
        <v>223.43426799999997</v>
      </c>
      <c r="K77" s="149"/>
    </row>
    <row r="78" spans="1:14" s="151" customFormat="1" ht="30" x14ac:dyDescent="0.25">
      <c r="A78" s="141" t="s">
        <v>1029</v>
      </c>
      <c r="B78" s="69">
        <v>93665</v>
      </c>
      <c r="C78" s="69" t="s">
        <v>17</v>
      </c>
      <c r="D78" s="33" t="s">
        <v>718</v>
      </c>
      <c r="E78" s="69" t="s">
        <v>144</v>
      </c>
      <c r="F78" s="70">
        <v>1</v>
      </c>
      <c r="G78" s="71">
        <v>98.13</v>
      </c>
      <c r="H78" s="73">
        <f t="shared" si="42"/>
        <v>120.17981099999999</v>
      </c>
      <c r="I78" s="77">
        <f t="shared" si="43"/>
        <v>98.13</v>
      </c>
      <c r="J78" s="142">
        <f t="shared" si="44"/>
        <v>120.17981099999999</v>
      </c>
      <c r="K78" s="149"/>
    </row>
    <row r="79" spans="1:14" s="151" customFormat="1" ht="30" x14ac:dyDescent="0.25">
      <c r="A79" s="141" t="s">
        <v>495</v>
      </c>
      <c r="B79" s="69" t="s">
        <v>970</v>
      </c>
      <c r="C79" s="69" t="s">
        <v>156</v>
      </c>
      <c r="D79" s="33" t="s">
        <v>719</v>
      </c>
      <c r="E79" s="69" t="s">
        <v>144</v>
      </c>
      <c r="F79" s="70">
        <v>1</v>
      </c>
      <c r="G79" s="71">
        <f ca="1">CPU!H101</f>
        <v>29.033299999999997</v>
      </c>
      <c r="H79" s="73">
        <f t="shared" ca="1" si="42"/>
        <v>35.557082509999994</v>
      </c>
      <c r="I79" s="77">
        <f t="shared" ca="1" si="43"/>
        <v>29.033299999999997</v>
      </c>
      <c r="J79" s="142">
        <f t="shared" ca="1" si="44"/>
        <v>35.557082509999994</v>
      </c>
      <c r="K79" s="149"/>
    </row>
    <row r="80" spans="1:14" s="151" customFormat="1" x14ac:dyDescent="0.25">
      <c r="A80" s="141" t="s">
        <v>496</v>
      </c>
      <c r="B80" s="69" t="s">
        <v>425</v>
      </c>
      <c r="C80" s="69" t="s">
        <v>6</v>
      </c>
      <c r="D80" s="33" t="s">
        <v>424</v>
      </c>
      <c r="E80" s="69" t="s">
        <v>144</v>
      </c>
      <c r="F80" s="70">
        <v>4</v>
      </c>
      <c r="G80" s="71">
        <v>107.61</v>
      </c>
      <c r="H80" s="73">
        <f t="shared" si="42"/>
        <v>131.78996699999999</v>
      </c>
      <c r="I80" s="77">
        <f t="shared" si="43"/>
        <v>430.44</v>
      </c>
      <c r="J80" s="142">
        <f t="shared" si="44"/>
        <v>527.15986799999996</v>
      </c>
      <c r="K80" s="149"/>
    </row>
    <row r="81" spans="1:14" s="151" customFormat="1" x14ac:dyDescent="0.25">
      <c r="A81" s="141" t="s">
        <v>497</v>
      </c>
      <c r="B81" s="78" t="str">
        <f>'COT.'!$A$290</f>
        <v>COT-49</v>
      </c>
      <c r="C81" s="69" t="s">
        <v>106</v>
      </c>
      <c r="D81" s="33" t="str">
        <f>'COT.'!$B$290</f>
        <v>ETIQUETAS DE IDENTIFICAÇÃO AUTO-ADESIVAS (PACOTE COM 280 UN.)</v>
      </c>
      <c r="E81" s="69" t="s">
        <v>144</v>
      </c>
      <c r="F81" s="70">
        <v>1</v>
      </c>
      <c r="G81" s="71">
        <f ca="1">'COT.'!$E$290</f>
        <v>5.8</v>
      </c>
      <c r="H81" s="73">
        <f t="shared" ca="1" si="42"/>
        <v>7.1032599999999988</v>
      </c>
      <c r="I81" s="77">
        <f t="shared" ca="1" si="43"/>
        <v>5.8</v>
      </c>
      <c r="J81" s="142">
        <f t="shared" ca="1" si="44"/>
        <v>7.1032599999999988</v>
      </c>
      <c r="K81" s="149"/>
    </row>
    <row r="82" spans="1:14" s="151" customFormat="1" x14ac:dyDescent="0.25">
      <c r="A82" s="141" t="s">
        <v>498</v>
      </c>
      <c r="B82" s="78" t="str">
        <f>'COT.'!$A$296</f>
        <v>COT-50</v>
      </c>
      <c r="C82" s="69" t="s">
        <v>106</v>
      </c>
      <c r="D82" s="33" t="s">
        <v>457</v>
      </c>
      <c r="E82" s="69" t="s">
        <v>458</v>
      </c>
      <c r="F82" s="70">
        <v>12</v>
      </c>
      <c r="G82" s="71">
        <f ca="1">'COT.'!$E$296</f>
        <v>5.99</v>
      </c>
      <c r="H82" s="73">
        <f t="shared" ca="1" si="42"/>
        <v>7.3359529999999999</v>
      </c>
      <c r="I82" s="77">
        <f t="shared" ca="1" si="43"/>
        <v>71.88</v>
      </c>
      <c r="J82" s="142">
        <f t="shared" ca="1" si="44"/>
        <v>88.031435999999999</v>
      </c>
      <c r="K82" s="149"/>
    </row>
    <row r="83" spans="1:14" s="151" customFormat="1" x14ac:dyDescent="0.25">
      <c r="A83" s="141" t="s">
        <v>499</v>
      </c>
      <c r="B83" s="69" t="s">
        <v>971</v>
      </c>
      <c r="C83" s="69" t="s">
        <v>156</v>
      </c>
      <c r="D83" s="33" t="s">
        <v>691</v>
      </c>
      <c r="E83" s="69" t="s">
        <v>445</v>
      </c>
      <c r="F83" s="70">
        <v>1</v>
      </c>
      <c r="G83" s="71">
        <f>CPU!H106</f>
        <v>408.28</v>
      </c>
      <c r="H83" s="73">
        <f t="shared" si="42"/>
        <v>500.02051599999993</v>
      </c>
      <c r="I83" s="77">
        <f t="shared" si="43"/>
        <v>408.28</v>
      </c>
      <c r="J83" s="142">
        <f t="shared" si="44"/>
        <v>500.02051599999993</v>
      </c>
      <c r="K83" s="149"/>
    </row>
    <row r="84" spans="1:14" s="180" customFormat="1" x14ac:dyDescent="0.25">
      <c r="A84" s="173" t="s">
        <v>149</v>
      </c>
      <c r="B84" s="174"/>
      <c r="C84" s="174"/>
      <c r="D84" s="174" t="s">
        <v>426</v>
      </c>
      <c r="E84" s="174"/>
      <c r="F84" s="175"/>
      <c r="G84" s="176"/>
      <c r="H84" s="176"/>
      <c r="I84" s="177">
        <f ca="1">SUM(I85:I91)</f>
        <v>11473.28</v>
      </c>
      <c r="J84" s="177">
        <f ca="1">SUM(J85:J91)</f>
        <v>14051.326016000003</v>
      </c>
      <c r="K84" s="179"/>
      <c r="N84" s="181"/>
    </row>
    <row r="85" spans="1:14" s="151" customFormat="1" ht="30" x14ac:dyDescent="0.25">
      <c r="A85" s="141" t="s">
        <v>500</v>
      </c>
      <c r="B85" s="69" t="s">
        <v>428</v>
      </c>
      <c r="C85" s="69" t="s">
        <v>6</v>
      </c>
      <c r="D85" s="33" t="s">
        <v>427</v>
      </c>
      <c r="E85" s="69" t="s">
        <v>143</v>
      </c>
      <c r="F85" s="70">
        <f>100+50</f>
        <v>150</v>
      </c>
      <c r="G85" s="71">
        <v>13.2</v>
      </c>
      <c r="H85" s="73">
        <f t="shared" ref="H85" si="45">G85*(1+$J$2)</f>
        <v>16.166039999999999</v>
      </c>
      <c r="I85" s="77">
        <f t="shared" ref="I85" si="46">G85*F85</f>
        <v>1980</v>
      </c>
      <c r="J85" s="142">
        <f t="shared" ref="J85" si="47">H85*F85</f>
        <v>2424.9059999999999</v>
      </c>
      <c r="K85" s="149"/>
    </row>
    <row r="86" spans="1:14" s="151" customFormat="1" ht="30" x14ac:dyDescent="0.25">
      <c r="A86" s="141" t="s">
        <v>501</v>
      </c>
      <c r="B86" s="69" t="s">
        <v>430</v>
      </c>
      <c r="C86" s="69" t="s">
        <v>6</v>
      </c>
      <c r="D86" s="33" t="s">
        <v>429</v>
      </c>
      <c r="E86" s="69" t="s">
        <v>143</v>
      </c>
      <c r="F86" s="70">
        <f>400+500+150+400+650</f>
        <v>2100</v>
      </c>
      <c r="G86" s="71">
        <v>4.2300000000000004</v>
      </c>
      <c r="H86" s="73">
        <f t="shared" ref="H86:H91" si="48">G86*(1+$J$2)</f>
        <v>5.1804810000000003</v>
      </c>
      <c r="I86" s="77">
        <f t="shared" ref="I86:I91" si="49">G86*F86</f>
        <v>8883</v>
      </c>
      <c r="J86" s="142">
        <f t="shared" ref="J86:J91" si="50">H86*F86</f>
        <v>10879.010100000001</v>
      </c>
      <c r="K86" s="149"/>
    </row>
    <row r="87" spans="1:14" s="151" customFormat="1" x14ac:dyDescent="0.25">
      <c r="A87" s="141" t="s">
        <v>502</v>
      </c>
      <c r="B87" s="69">
        <v>3301</v>
      </c>
      <c r="C87" s="69" t="s">
        <v>140</v>
      </c>
      <c r="D87" s="33" t="s">
        <v>432</v>
      </c>
      <c r="E87" s="69" t="s">
        <v>144</v>
      </c>
      <c r="F87" s="70">
        <v>5</v>
      </c>
      <c r="G87" s="71">
        <v>0.28999999999999998</v>
      </c>
      <c r="H87" s="73">
        <f t="shared" si="48"/>
        <v>0.35516299999999995</v>
      </c>
      <c r="I87" s="77">
        <f t="shared" si="49"/>
        <v>1.45</v>
      </c>
      <c r="J87" s="142">
        <f t="shared" si="50"/>
        <v>1.7758149999999997</v>
      </c>
      <c r="K87" s="149"/>
    </row>
    <row r="88" spans="1:14" s="151" customFormat="1" x14ac:dyDescent="0.25">
      <c r="A88" s="141" t="s">
        <v>503</v>
      </c>
      <c r="B88" s="69">
        <v>4015</v>
      </c>
      <c r="C88" s="69" t="s">
        <v>140</v>
      </c>
      <c r="D88" s="33" t="s">
        <v>431</v>
      </c>
      <c r="E88" s="69" t="s">
        <v>144</v>
      </c>
      <c r="F88" s="70">
        <v>10</v>
      </c>
      <c r="G88" s="71">
        <v>12.6</v>
      </c>
      <c r="H88" s="73">
        <f t="shared" si="48"/>
        <v>15.431219999999998</v>
      </c>
      <c r="I88" s="77">
        <f t="shared" si="49"/>
        <v>126</v>
      </c>
      <c r="J88" s="142">
        <f t="shared" si="50"/>
        <v>154.31219999999999</v>
      </c>
      <c r="K88" s="149"/>
    </row>
    <row r="89" spans="1:14" s="151" customFormat="1" ht="30" customHeight="1" x14ac:dyDescent="0.25">
      <c r="A89" s="141" t="s">
        <v>696</v>
      </c>
      <c r="B89" s="78" t="str">
        <f>'COT.'!$A$272</f>
        <v>COT-46</v>
      </c>
      <c r="C89" s="69" t="s">
        <v>156</v>
      </c>
      <c r="D89" s="33" t="s">
        <v>459</v>
      </c>
      <c r="E89" s="69" t="s">
        <v>144</v>
      </c>
      <c r="F89" s="70">
        <v>10</v>
      </c>
      <c r="G89" s="71">
        <f ca="1">'COT.'!$E$272</f>
        <v>14.77</v>
      </c>
      <c r="H89" s="73">
        <f t="shared" ca="1" si="48"/>
        <v>18.088818999999997</v>
      </c>
      <c r="I89" s="77">
        <f t="shared" ca="1" si="49"/>
        <v>147.69999999999999</v>
      </c>
      <c r="J89" s="142">
        <f t="shared" ca="1" si="50"/>
        <v>180.88818999999998</v>
      </c>
      <c r="K89" s="149"/>
    </row>
    <row r="90" spans="1:14" s="151" customFormat="1" x14ac:dyDescent="0.25">
      <c r="A90" s="141" t="s">
        <v>504</v>
      </c>
      <c r="B90" s="69" t="s">
        <v>434</v>
      </c>
      <c r="C90" s="69" t="s">
        <v>6</v>
      </c>
      <c r="D90" s="33" t="s">
        <v>433</v>
      </c>
      <c r="E90" s="69" t="s">
        <v>144</v>
      </c>
      <c r="F90" s="70">
        <v>1</v>
      </c>
      <c r="G90" s="71">
        <v>59.13</v>
      </c>
      <c r="H90" s="73">
        <f t="shared" si="48"/>
        <v>72.416511</v>
      </c>
      <c r="I90" s="77">
        <f t="shared" si="49"/>
        <v>59.13</v>
      </c>
      <c r="J90" s="142">
        <f t="shared" si="50"/>
        <v>72.416511</v>
      </c>
      <c r="K90" s="149"/>
    </row>
    <row r="91" spans="1:14" s="151" customFormat="1" x14ac:dyDescent="0.25">
      <c r="A91" s="141" t="s">
        <v>505</v>
      </c>
      <c r="B91" s="69">
        <v>3252</v>
      </c>
      <c r="C91" s="69" t="s">
        <v>140</v>
      </c>
      <c r="D91" s="33" t="s">
        <v>435</v>
      </c>
      <c r="E91" s="69" t="s">
        <v>144</v>
      </c>
      <c r="F91" s="70">
        <v>300</v>
      </c>
      <c r="G91" s="71">
        <v>0.92</v>
      </c>
      <c r="H91" s="73">
        <f t="shared" si="48"/>
        <v>1.1267240000000001</v>
      </c>
      <c r="I91" s="77">
        <f t="shared" si="49"/>
        <v>276</v>
      </c>
      <c r="J91" s="142">
        <f t="shared" si="50"/>
        <v>338.0172</v>
      </c>
      <c r="K91" s="149"/>
    </row>
    <row r="92" spans="1:14" s="180" customFormat="1" x14ac:dyDescent="0.25">
      <c r="A92" s="173" t="s">
        <v>506</v>
      </c>
      <c r="B92" s="174"/>
      <c r="C92" s="174"/>
      <c r="D92" s="174" t="s">
        <v>436</v>
      </c>
      <c r="E92" s="174"/>
      <c r="F92" s="175"/>
      <c r="G92" s="176"/>
      <c r="H92" s="176"/>
      <c r="I92" s="177">
        <f>SUM(I93:I102)</f>
        <v>21498.54</v>
      </c>
      <c r="J92" s="177">
        <f>SUM(J93:J102)</f>
        <v>26329.261938</v>
      </c>
      <c r="K92" s="179"/>
      <c r="N92" s="181"/>
    </row>
    <row r="93" spans="1:14" s="151" customFormat="1" ht="30" x14ac:dyDescent="0.25">
      <c r="A93" s="141" t="s">
        <v>507</v>
      </c>
      <c r="B93" s="69" t="s">
        <v>440</v>
      </c>
      <c r="C93" s="69" t="s">
        <v>6</v>
      </c>
      <c r="D93" s="33" t="s">
        <v>902</v>
      </c>
      <c r="E93" s="69" t="s">
        <v>143</v>
      </c>
      <c r="F93" s="70">
        <f>68*3</f>
        <v>204</v>
      </c>
      <c r="G93" s="71">
        <v>21.9</v>
      </c>
      <c r="H93" s="73">
        <f t="shared" ref="H93" si="51">G93*(1+$J$2)</f>
        <v>26.820929999999997</v>
      </c>
      <c r="I93" s="77">
        <f t="shared" ref="I93" si="52">G93*F93</f>
        <v>4467.5999999999995</v>
      </c>
      <c r="J93" s="142">
        <f t="shared" ref="J93" si="53">H93*F93</f>
        <v>5471.4697199999991</v>
      </c>
      <c r="K93" s="149"/>
    </row>
    <row r="94" spans="1:14" s="151" customFormat="1" ht="30" x14ac:dyDescent="0.25">
      <c r="A94" s="141" t="s">
        <v>508</v>
      </c>
      <c r="B94" s="69" t="s">
        <v>442</v>
      </c>
      <c r="C94" s="69" t="s">
        <v>6</v>
      </c>
      <c r="D94" s="33" t="s">
        <v>441</v>
      </c>
      <c r="E94" s="69" t="s">
        <v>143</v>
      </c>
      <c r="F94" s="70">
        <f>46*3</f>
        <v>138</v>
      </c>
      <c r="G94" s="71">
        <v>20.87</v>
      </c>
      <c r="H94" s="73">
        <f t="shared" ref="H94:H102" si="54">G94*(1+$J$2)</f>
        <v>25.559488999999999</v>
      </c>
      <c r="I94" s="77">
        <f t="shared" ref="I94:I102" si="55">G94*F94</f>
        <v>2880.06</v>
      </c>
      <c r="J94" s="142">
        <f t="shared" ref="J94:J102" si="56">H94*F94</f>
        <v>3527.2094819999998</v>
      </c>
      <c r="K94" s="149"/>
    </row>
    <row r="95" spans="1:14" s="151" customFormat="1" ht="30" x14ac:dyDescent="0.25">
      <c r="A95" s="141" t="s">
        <v>509</v>
      </c>
      <c r="B95" s="69">
        <v>95801</v>
      </c>
      <c r="C95" s="69" t="s">
        <v>17</v>
      </c>
      <c r="D95" s="33" t="s">
        <v>444</v>
      </c>
      <c r="E95" s="69" t="s">
        <v>144</v>
      </c>
      <c r="F95" s="70">
        <v>53</v>
      </c>
      <c r="G95" s="71">
        <v>40.840000000000003</v>
      </c>
      <c r="H95" s="73">
        <f t="shared" si="54"/>
        <v>50.016748</v>
      </c>
      <c r="I95" s="77">
        <f t="shared" si="55"/>
        <v>2164.52</v>
      </c>
      <c r="J95" s="142">
        <f t="shared" si="56"/>
        <v>2650.8876439999999</v>
      </c>
      <c r="K95" s="149"/>
    </row>
    <row r="96" spans="1:14" s="151" customFormat="1" ht="30" x14ac:dyDescent="0.25">
      <c r="A96" s="141" t="s">
        <v>510</v>
      </c>
      <c r="B96" s="69">
        <v>11304</v>
      </c>
      <c r="C96" s="69" t="s">
        <v>140</v>
      </c>
      <c r="D96" s="33" t="s">
        <v>879</v>
      </c>
      <c r="E96" s="69" t="s">
        <v>144</v>
      </c>
      <c r="F96" s="70">
        <v>130</v>
      </c>
      <c r="G96" s="71">
        <v>4.0999999999999996</v>
      </c>
      <c r="H96" s="73">
        <f t="shared" si="54"/>
        <v>5.0212699999999995</v>
      </c>
      <c r="I96" s="77">
        <f t="shared" si="55"/>
        <v>533</v>
      </c>
      <c r="J96" s="142">
        <f t="shared" si="56"/>
        <v>652.76509999999996</v>
      </c>
      <c r="K96" s="149"/>
    </row>
    <row r="97" spans="1:14" s="151" customFormat="1" x14ac:dyDescent="0.2">
      <c r="A97" s="141" t="s">
        <v>511</v>
      </c>
      <c r="B97" s="69">
        <v>10327</v>
      </c>
      <c r="C97" s="69" t="s">
        <v>140</v>
      </c>
      <c r="D97" s="33" t="s">
        <v>670</v>
      </c>
      <c r="E97" s="69" t="s">
        <v>144</v>
      </c>
      <c r="F97" s="70">
        <v>204</v>
      </c>
      <c r="G97" s="245">
        <v>6.32</v>
      </c>
      <c r="H97" s="73">
        <f t="shared" si="54"/>
        <v>7.7401039999999997</v>
      </c>
      <c r="I97" s="77">
        <f t="shared" si="55"/>
        <v>1289.28</v>
      </c>
      <c r="J97" s="142">
        <f t="shared" si="56"/>
        <v>1578.9812159999999</v>
      </c>
      <c r="K97" s="149"/>
    </row>
    <row r="98" spans="1:14" s="151" customFormat="1" ht="30" x14ac:dyDescent="0.25">
      <c r="A98" s="141" t="s">
        <v>512</v>
      </c>
      <c r="B98" s="69">
        <v>7384</v>
      </c>
      <c r="C98" s="69" t="s">
        <v>140</v>
      </c>
      <c r="D98" s="33" t="s">
        <v>918</v>
      </c>
      <c r="E98" s="69" t="s">
        <v>143</v>
      </c>
      <c r="F98" s="70">
        <f>F93+F94</f>
        <v>342</v>
      </c>
      <c r="G98" s="71">
        <v>23.2</v>
      </c>
      <c r="H98" s="73">
        <f t="shared" si="54"/>
        <v>28.413039999999995</v>
      </c>
      <c r="I98" s="77">
        <f t="shared" si="55"/>
        <v>7934.4</v>
      </c>
      <c r="J98" s="142">
        <f t="shared" si="56"/>
        <v>9717.2596799999992</v>
      </c>
      <c r="K98" s="149"/>
    </row>
    <row r="99" spans="1:14" s="151" customFormat="1" x14ac:dyDescent="0.25">
      <c r="A99" s="141" t="s">
        <v>513</v>
      </c>
      <c r="B99" s="69">
        <v>12500</v>
      </c>
      <c r="C99" s="69" t="s">
        <v>140</v>
      </c>
      <c r="D99" s="33" t="s">
        <v>919</v>
      </c>
      <c r="E99" s="69" t="s">
        <v>143</v>
      </c>
      <c r="F99" s="70">
        <v>68</v>
      </c>
      <c r="G99" s="71">
        <v>6.87</v>
      </c>
      <c r="H99" s="73">
        <f t="shared" si="54"/>
        <v>8.4136889999999998</v>
      </c>
      <c r="I99" s="77">
        <f t="shared" si="55"/>
        <v>467.16</v>
      </c>
      <c r="J99" s="142">
        <f t="shared" si="56"/>
        <v>572.130852</v>
      </c>
      <c r="K99" s="149"/>
    </row>
    <row r="100" spans="1:14" s="151" customFormat="1" x14ac:dyDescent="0.25">
      <c r="A100" s="141" t="s">
        <v>697</v>
      </c>
      <c r="B100" s="69">
        <v>9816</v>
      </c>
      <c r="C100" s="69" t="s">
        <v>140</v>
      </c>
      <c r="D100" s="33" t="s">
        <v>449</v>
      </c>
      <c r="E100" s="69" t="s">
        <v>144</v>
      </c>
      <c r="F100" s="70">
        <f>136*2</f>
        <v>272</v>
      </c>
      <c r="G100" s="71">
        <v>0.46</v>
      </c>
      <c r="H100" s="73">
        <f t="shared" si="54"/>
        <v>0.56336200000000003</v>
      </c>
      <c r="I100" s="77">
        <f t="shared" si="55"/>
        <v>125.12</v>
      </c>
      <c r="J100" s="142">
        <f t="shared" si="56"/>
        <v>153.234464</v>
      </c>
      <c r="K100" s="149"/>
    </row>
    <row r="101" spans="1:14" s="151" customFormat="1" x14ac:dyDescent="0.25">
      <c r="A101" s="141" t="s">
        <v>514</v>
      </c>
      <c r="B101" s="69">
        <v>9832</v>
      </c>
      <c r="C101" s="69" t="s">
        <v>140</v>
      </c>
      <c r="D101" s="33" t="s">
        <v>451</v>
      </c>
      <c r="E101" s="69" t="s">
        <v>144</v>
      </c>
      <c r="F101" s="70">
        <f>136*2</f>
        <v>272</v>
      </c>
      <c r="G101" s="71">
        <v>1.2</v>
      </c>
      <c r="H101" s="73">
        <f t="shared" si="54"/>
        <v>1.4696399999999998</v>
      </c>
      <c r="I101" s="77">
        <f t="shared" si="55"/>
        <v>326.39999999999998</v>
      </c>
      <c r="J101" s="142">
        <f t="shared" si="56"/>
        <v>399.74207999999993</v>
      </c>
      <c r="K101" s="149"/>
    </row>
    <row r="102" spans="1:14" s="151" customFormat="1" x14ac:dyDescent="0.25">
      <c r="A102" s="141" t="s">
        <v>515</v>
      </c>
      <c r="B102" s="69">
        <v>10620</v>
      </c>
      <c r="C102" s="69" t="s">
        <v>140</v>
      </c>
      <c r="D102" s="33" t="s">
        <v>462</v>
      </c>
      <c r="E102" s="69" t="s">
        <v>144</v>
      </c>
      <c r="F102" s="70">
        <v>300</v>
      </c>
      <c r="G102" s="71">
        <v>4.37</v>
      </c>
      <c r="H102" s="73">
        <f t="shared" si="54"/>
        <v>5.3519389999999998</v>
      </c>
      <c r="I102" s="77">
        <f t="shared" si="55"/>
        <v>1311</v>
      </c>
      <c r="J102" s="142">
        <f t="shared" si="56"/>
        <v>1605.5817</v>
      </c>
      <c r="K102" s="149"/>
    </row>
    <row r="103" spans="1:14" s="180" customFormat="1" x14ac:dyDescent="0.25">
      <c r="A103" s="173" t="s">
        <v>516</v>
      </c>
      <c r="B103" s="174"/>
      <c r="C103" s="174"/>
      <c r="D103" s="174" t="s">
        <v>446</v>
      </c>
      <c r="E103" s="174"/>
      <c r="F103" s="175"/>
      <c r="G103" s="176"/>
      <c r="H103" s="176"/>
      <c r="I103" s="177">
        <f>SUM(I104:I118)</f>
        <v>11809.770000000002</v>
      </c>
      <c r="J103" s="177">
        <f>SUM(J104:J118)</f>
        <v>14463.425319</v>
      </c>
      <c r="K103" s="179"/>
      <c r="N103" s="181"/>
    </row>
    <row r="104" spans="1:14" s="151" customFormat="1" x14ac:dyDescent="0.25">
      <c r="A104" s="141" t="s">
        <v>517</v>
      </c>
      <c r="B104" s="69" t="s">
        <v>905</v>
      </c>
      <c r="C104" s="69" t="s">
        <v>904</v>
      </c>
      <c r="D104" s="33" t="s">
        <v>903</v>
      </c>
      <c r="E104" s="69" t="s">
        <v>143</v>
      </c>
      <c r="F104" s="70">
        <f>23*3</f>
        <v>69</v>
      </c>
      <c r="G104" s="71">
        <f>93.82</f>
        <v>93.82</v>
      </c>
      <c r="H104" s="73">
        <f t="shared" ref="H104" si="57">G104*(1+$J$2)</f>
        <v>114.90135399999998</v>
      </c>
      <c r="I104" s="77">
        <f>G104*F104</f>
        <v>6473.58</v>
      </c>
      <c r="J104" s="142">
        <f t="shared" ref="J104" si="58">H104*F104</f>
        <v>7928.1934259999989</v>
      </c>
      <c r="K104" s="149"/>
    </row>
    <row r="105" spans="1:14" s="151" customFormat="1" ht="30" x14ac:dyDescent="0.25">
      <c r="A105" s="141" t="s">
        <v>518</v>
      </c>
      <c r="B105" s="33" t="s">
        <v>908</v>
      </c>
      <c r="C105" s="69" t="s">
        <v>907</v>
      </c>
      <c r="D105" s="33" t="s">
        <v>906</v>
      </c>
      <c r="E105" s="69" t="s">
        <v>144</v>
      </c>
      <c r="F105" s="70">
        <v>1</v>
      </c>
      <c r="G105" s="71">
        <v>49.56</v>
      </c>
      <c r="H105" s="73">
        <f t="shared" ref="H105:H118" si="59">G105*(1+$J$2)</f>
        <v>60.696131999999999</v>
      </c>
      <c r="I105" s="77">
        <f t="shared" ref="I105:I118" si="60">G105*F105</f>
        <v>49.56</v>
      </c>
      <c r="J105" s="142">
        <f t="shared" ref="J105:J118" si="61">H105*F105</f>
        <v>60.696131999999999</v>
      </c>
      <c r="K105" s="149"/>
    </row>
    <row r="106" spans="1:14" s="151" customFormat="1" ht="30" x14ac:dyDescent="0.25">
      <c r="A106" s="141" t="s">
        <v>519</v>
      </c>
      <c r="B106" s="33">
        <v>7877</v>
      </c>
      <c r="C106" s="69" t="s">
        <v>140</v>
      </c>
      <c r="D106" s="33" t="s">
        <v>909</v>
      </c>
      <c r="E106" s="69" t="s">
        <v>144</v>
      </c>
      <c r="F106" s="70">
        <v>1</v>
      </c>
      <c r="G106" s="71">
        <v>21.01</v>
      </c>
      <c r="H106" s="73">
        <f t="shared" si="59"/>
        <v>25.730947</v>
      </c>
      <c r="I106" s="77">
        <f t="shared" si="60"/>
        <v>21.01</v>
      </c>
      <c r="J106" s="142">
        <f t="shared" si="61"/>
        <v>25.730947</v>
      </c>
      <c r="K106" s="149"/>
    </row>
    <row r="107" spans="1:14" s="151" customFormat="1" ht="30" x14ac:dyDescent="0.25">
      <c r="A107" s="141" t="s">
        <v>520</v>
      </c>
      <c r="B107" s="33" t="s">
        <v>911</v>
      </c>
      <c r="C107" s="69" t="s">
        <v>907</v>
      </c>
      <c r="D107" s="33" t="s">
        <v>910</v>
      </c>
      <c r="E107" s="69" t="s">
        <v>144</v>
      </c>
      <c r="F107" s="70">
        <v>1</v>
      </c>
      <c r="G107" s="71">
        <v>48.18</v>
      </c>
      <c r="H107" s="73">
        <f t="shared" si="59"/>
        <v>59.006045999999998</v>
      </c>
      <c r="I107" s="77">
        <f t="shared" si="60"/>
        <v>48.18</v>
      </c>
      <c r="J107" s="142">
        <f t="shared" si="61"/>
        <v>59.006045999999998</v>
      </c>
      <c r="K107" s="149"/>
    </row>
    <row r="108" spans="1:14" s="151" customFormat="1" x14ac:dyDescent="0.25">
      <c r="A108" s="141" t="s">
        <v>521</v>
      </c>
      <c r="B108" s="33" t="s">
        <v>912</v>
      </c>
      <c r="C108" s="69" t="s">
        <v>891</v>
      </c>
      <c r="D108" s="33" t="s">
        <v>913</v>
      </c>
      <c r="E108" s="69" t="s">
        <v>144</v>
      </c>
      <c r="F108" s="70">
        <v>26</v>
      </c>
      <c r="G108" s="71">
        <v>35.299999999999997</v>
      </c>
      <c r="H108" s="73">
        <f t="shared" si="59"/>
        <v>43.231909999999992</v>
      </c>
      <c r="I108" s="77">
        <f t="shared" si="60"/>
        <v>917.8</v>
      </c>
      <c r="J108" s="142">
        <f t="shared" si="61"/>
        <v>1124.0296599999997</v>
      </c>
      <c r="K108" s="149"/>
    </row>
    <row r="109" spans="1:14" s="151" customFormat="1" ht="30" x14ac:dyDescent="0.25">
      <c r="A109" s="141" t="s">
        <v>522</v>
      </c>
      <c r="B109" s="69">
        <v>723</v>
      </c>
      <c r="C109" s="69" t="s">
        <v>140</v>
      </c>
      <c r="D109" s="33" t="s">
        <v>448</v>
      </c>
      <c r="E109" s="69" t="s">
        <v>144</v>
      </c>
      <c r="F109" s="70">
        <v>14</v>
      </c>
      <c r="G109" s="71">
        <v>6.9</v>
      </c>
      <c r="H109" s="73">
        <f t="shared" si="59"/>
        <v>8.450429999999999</v>
      </c>
      <c r="I109" s="77">
        <f t="shared" si="60"/>
        <v>96.600000000000009</v>
      </c>
      <c r="J109" s="142">
        <f t="shared" si="61"/>
        <v>118.30601999999999</v>
      </c>
      <c r="K109" s="149"/>
    </row>
    <row r="110" spans="1:14" s="151" customFormat="1" x14ac:dyDescent="0.25">
      <c r="A110" s="141" t="s">
        <v>1030</v>
      </c>
      <c r="B110" s="69">
        <v>12506</v>
      </c>
      <c r="C110" s="69" t="s">
        <v>140</v>
      </c>
      <c r="D110" s="33" t="s">
        <v>914</v>
      </c>
      <c r="E110" s="69" t="s">
        <v>144</v>
      </c>
      <c r="F110" s="70">
        <v>28</v>
      </c>
      <c r="G110" s="71">
        <v>0.53</v>
      </c>
      <c r="H110" s="73">
        <f t="shared" si="59"/>
        <v>0.64909099999999997</v>
      </c>
      <c r="I110" s="77">
        <f t="shared" si="60"/>
        <v>14.84</v>
      </c>
      <c r="J110" s="142">
        <f t="shared" si="61"/>
        <v>18.174547999999998</v>
      </c>
      <c r="K110" s="149"/>
    </row>
    <row r="111" spans="1:14" s="151" customFormat="1" ht="30" x14ac:dyDescent="0.25">
      <c r="A111" s="141" t="s">
        <v>1031</v>
      </c>
      <c r="B111" s="69">
        <v>685</v>
      </c>
      <c r="C111" s="69" t="s">
        <v>140</v>
      </c>
      <c r="D111" s="33" t="s">
        <v>915</v>
      </c>
      <c r="E111" s="69" t="s">
        <v>144</v>
      </c>
      <c r="F111" s="70">
        <v>28</v>
      </c>
      <c r="G111" s="71">
        <v>5.01</v>
      </c>
      <c r="H111" s="73">
        <f t="shared" si="59"/>
        <v>6.1357469999999994</v>
      </c>
      <c r="I111" s="77">
        <f t="shared" si="60"/>
        <v>140.28</v>
      </c>
      <c r="J111" s="142">
        <f t="shared" si="61"/>
        <v>171.80091599999997</v>
      </c>
      <c r="K111" s="149"/>
    </row>
    <row r="112" spans="1:14" s="151" customFormat="1" x14ac:dyDescent="0.25">
      <c r="A112" s="141" t="s">
        <v>1032</v>
      </c>
      <c r="B112" s="69">
        <v>12614</v>
      </c>
      <c r="C112" s="69" t="s">
        <v>140</v>
      </c>
      <c r="D112" s="33" t="s">
        <v>916</v>
      </c>
      <c r="E112" s="69" t="s">
        <v>144</v>
      </c>
      <c r="F112" s="70">
        <v>28</v>
      </c>
      <c r="G112" s="71">
        <v>4.45</v>
      </c>
      <c r="H112" s="73">
        <f t="shared" si="59"/>
        <v>5.4499149999999998</v>
      </c>
      <c r="I112" s="77">
        <f t="shared" si="60"/>
        <v>124.60000000000001</v>
      </c>
      <c r="J112" s="142">
        <f t="shared" si="61"/>
        <v>152.59762000000001</v>
      </c>
      <c r="K112" s="149"/>
    </row>
    <row r="113" spans="1:14" s="151" customFormat="1" x14ac:dyDescent="0.25">
      <c r="A113" s="141" t="s">
        <v>1033</v>
      </c>
      <c r="B113" s="69">
        <v>9526</v>
      </c>
      <c r="C113" s="69" t="s">
        <v>140</v>
      </c>
      <c r="D113" s="33" t="s">
        <v>917</v>
      </c>
      <c r="E113" s="69" t="s">
        <v>144</v>
      </c>
      <c r="F113" s="70">
        <v>69</v>
      </c>
      <c r="G113" s="71">
        <v>10.37</v>
      </c>
      <c r="H113" s="73">
        <f t="shared" si="59"/>
        <v>12.700138999999998</v>
      </c>
      <c r="I113" s="77">
        <f t="shared" si="60"/>
        <v>715.53</v>
      </c>
      <c r="J113" s="142">
        <f t="shared" si="61"/>
        <v>876.30959099999984</v>
      </c>
      <c r="K113" s="149"/>
    </row>
    <row r="114" spans="1:14" s="151" customFormat="1" ht="30" x14ac:dyDescent="0.25">
      <c r="A114" s="141" t="s">
        <v>1034</v>
      </c>
      <c r="B114" s="69">
        <v>7384</v>
      </c>
      <c r="C114" s="69" t="s">
        <v>140</v>
      </c>
      <c r="D114" s="33" t="s">
        <v>918</v>
      </c>
      <c r="E114" s="69" t="s">
        <v>143</v>
      </c>
      <c r="F114" s="70">
        <v>69</v>
      </c>
      <c r="G114" s="71">
        <v>23.2</v>
      </c>
      <c r="H114" s="73">
        <f t="shared" si="59"/>
        <v>28.413039999999995</v>
      </c>
      <c r="I114" s="77">
        <f t="shared" si="60"/>
        <v>1600.8</v>
      </c>
      <c r="J114" s="142">
        <f t="shared" si="61"/>
        <v>1960.4997599999997</v>
      </c>
      <c r="K114" s="149"/>
    </row>
    <row r="115" spans="1:14" s="151" customFormat="1" x14ac:dyDescent="0.25">
      <c r="A115" s="141" t="s">
        <v>1035</v>
      </c>
      <c r="B115" s="69">
        <v>12500</v>
      </c>
      <c r="C115" s="69" t="s">
        <v>140</v>
      </c>
      <c r="D115" s="33" t="s">
        <v>919</v>
      </c>
      <c r="E115" s="69" t="s">
        <v>143</v>
      </c>
      <c r="F115" s="70">
        <v>69</v>
      </c>
      <c r="G115" s="71">
        <v>6.87</v>
      </c>
      <c r="H115" s="73">
        <f t="shared" si="59"/>
        <v>8.4136889999999998</v>
      </c>
      <c r="I115" s="77">
        <f t="shared" si="60"/>
        <v>474.03000000000003</v>
      </c>
      <c r="J115" s="142">
        <f t="shared" si="61"/>
        <v>580.54454099999998</v>
      </c>
      <c r="K115" s="149"/>
    </row>
    <row r="116" spans="1:14" s="151" customFormat="1" x14ac:dyDescent="0.25">
      <c r="A116" s="141" t="s">
        <v>1036</v>
      </c>
      <c r="B116" s="69">
        <v>9816</v>
      </c>
      <c r="C116" s="69" t="s">
        <v>140</v>
      </c>
      <c r="D116" s="33" t="s">
        <v>449</v>
      </c>
      <c r="E116" s="69" t="s">
        <v>144</v>
      </c>
      <c r="F116" s="70">
        <f>78*2</f>
        <v>156</v>
      </c>
      <c r="G116" s="71">
        <v>0.46</v>
      </c>
      <c r="H116" s="73">
        <f t="shared" si="59"/>
        <v>0.56336200000000003</v>
      </c>
      <c r="I116" s="77">
        <f t="shared" si="60"/>
        <v>71.760000000000005</v>
      </c>
      <c r="J116" s="142">
        <f t="shared" si="61"/>
        <v>87.884472000000002</v>
      </c>
      <c r="K116" s="149"/>
    </row>
    <row r="117" spans="1:14" s="151" customFormat="1" x14ac:dyDescent="0.25">
      <c r="A117" s="141" t="s">
        <v>1037</v>
      </c>
      <c r="B117" s="69">
        <v>9832</v>
      </c>
      <c r="C117" s="69" t="s">
        <v>140</v>
      </c>
      <c r="D117" s="33" t="s">
        <v>451</v>
      </c>
      <c r="E117" s="69" t="s">
        <v>144</v>
      </c>
      <c r="F117" s="70">
        <f>78*2</f>
        <v>156</v>
      </c>
      <c r="G117" s="71">
        <v>1.2</v>
      </c>
      <c r="H117" s="73">
        <f t="shared" si="59"/>
        <v>1.4696399999999998</v>
      </c>
      <c r="I117" s="77">
        <f t="shared" si="60"/>
        <v>187.2</v>
      </c>
      <c r="J117" s="142">
        <f t="shared" si="61"/>
        <v>229.26383999999999</v>
      </c>
      <c r="K117" s="149"/>
    </row>
    <row r="118" spans="1:14" s="151" customFormat="1" x14ac:dyDescent="0.25">
      <c r="A118" s="141" t="s">
        <v>1038</v>
      </c>
      <c r="B118" s="69">
        <v>10620</v>
      </c>
      <c r="C118" s="69" t="s">
        <v>140</v>
      </c>
      <c r="D118" s="33" t="s">
        <v>462</v>
      </c>
      <c r="E118" s="69" t="s">
        <v>144</v>
      </c>
      <c r="F118" s="70">
        <v>200</v>
      </c>
      <c r="G118" s="71">
        <v>4.37</v>
      </c>
      <c r="H118" s="73">
        <f t="shared" si="59"/>
        <v>5.3519389999999998</v>
      </c>
      <c r="I118" s="77">
        <f t="shared" si="60"/>
        <v>874</v>
      </c>
      <c r="J118" s="142">
        <f t="shared" si="61"/>
        <v>1070.3878</v>
      </c>
      <c r="K118" s="149"/>
    </row>
    <row r="119" spans="1:14" s="180" customFormat="1" x14ac:dyDescent="0.25">
      <c r="A119" s="173" t="s">
        <v>523</v>
      </c>
      <c r="B119" s="174"/>
      <c r="C119" s="174"/>
      <c r="D119" s="174" t="s">
        <v>153</v>
      </c>
      <c r="E119" s="174"/>
      <c r="F119" s="175"/>
      <c r="G119" s="176"/>
      <c r="H119" s="176"/>
      <c r="I119" s="177">
        <f ca="1">SUM(I120:I126)</f>
        <v>25773.216499999999</v>
      </c>
      <c r="J119" s="177">
        <f ca="1">SUM(J120:J126)</f>
        <v>31564.458247549996</v>
      </c>
      <c r="K119" s="179"/>
      <c r="N119" s="181"/>
    </row>
    <row r="120" spans="1:14" s="151" customFormat="1" ht="30" x14ac:dyDescent="0.25">
      <c r="A120" s="141" t="s">
        <v>524</v>
      </c>
      <c r="B120" s="69">
        <v>91940</v>
      </c>
      <c r="C120" s="69" t="s">
        <v>17</v>
      </c>
      <c r="D120" s="33" t="s">
        <v>152</v>
      </c>
      <c r="E120" s="69" t="s">
        <v>144</v>
      </c>
      <c r="F120" s="70">
        <f>16+F121+F122+F123</f>
        <v>75</v>
      </c>
      <c r="G120" s="71">
        <v>18.13</v>
      </c>
      <c r="H120" s="73">
        <f t="shared" ref="H120" si="62">G120*(1+$J$2)</f>
        <v>22.203810999999998</v>
      </c>
      <c r="I120" s="77">
        <f>G120*F120</f>
        <v>1359.75</v>
      </c>
      <c r="J120" s="142">
        <f t="shared" ref="J120" si="63">H120*F120</f>
        <v>1665.2858249999999</v>
      </c>
      <c r="K120" s="149"/>
    </row>
    <row r="121" spans="1:14" s="151" customFormat="1" ht="30" x14ac:dyDescent="0.25">
      <c r="A121" s="141" t="s">
        <v>525</v>
      </c>
      <c r="B121" s="69">
        <v>91953</v>
      </c>
      <c r="C121" s="69" t="s">
        <v>17</v>
      </c>
      <c r="D121" s="33" t="s">
        <v>303</v>
      </c>
      <c r="E121" s="69" t="s">
        <v>144</v>
      </c>
      <c r="F121" s="70">
        <v>5</v>
      </c>
      <c r="G121" s="71">
        <v>29.22</v>
      </c>
      <c r="H121" s="73">
        <f t="shared" ref="H121:H126" si="64">G121*(1+$J$2)</f>
        <v>35.785733999999998</v>
      </c>
      <c r="I121" s="77">
        <f t="shared" ref="I121:I126" si="65">G121*F121</f>
        <v>146.1</v>
      </c>
      <c r="J121" s="142">
        <f t="shared" ref="J121:J126" si="66">H121*F121</f>
        <v>178.92866999999998</v>
      </c>
      <c r="K121" s="149"/>
    </row>
    <row r="122" spans="1:14" s="151" customFormat="1" ht="30" x14ac:dyDescent="0.25">
      <c r="A122" s="141" t="s">
        <v>526</v>
      </c>
      <c r="B122" s="69">
        <v>91997</v>
      </c>
      <c r="C122" s="69" t="s">
        <v>17</v>
      </c>
      <c r="D122" s="33" t="s">
        <v>453</v>
      </c>
      <c r="E122" s="69" t="s">
        <v>144</v>
      </c>
      <c r="F122" s="70">
        <v>38</v>
      </c>
      <c r="G122" s="71">
        <v>36.56</v>
      </c>
      <c r="H122" s="73">
        <f t="shared" si="64"/>
        <v>44.775031999999996</v>
      </c>
      <c r="I122" s="77">
        <f t="shared" si="65"/>
        <v>1389.2800000000002</v>
      </c>
      <c r="J122" s="142">
        <f t="shared" si="66"/>
        <v>1701.4512159999999</v>
      </c>
      <c r="K122" s="149"/>
    </row>
    <row r="123" spans="1:14" s="151" customFormat="1" ht="30" x14ac:dyDescent="0.25">
      <c r="A123" s="141" t="s">
        <v>527</v>
      </c>
      <c r="B123" s="69">
        <v>92005</v>
      </c>
      <c r="C123" s="69" t="s">
        <v>17</v>
      </c>
      <c r="D123" s="33" t="s">
        <v>454</v>
      </c>
      <c r="E123" s="69" t="s">
        <v>144</v>
      </c>
      <c r="F123" s="70">
        <v>16</v>
      </c>
      <c r="G123" s="71">
        <v>59.16</v>
      </c>
      <c r="H123" s="73">
        <f t="shared" si="64"/>
        <v>72.453251999999992</v>
      </c>
      <c r="I123" s="77">
        <f t="shared" si="65"/>
        <v>946.56</v>
      </c>
      <c r="J123" s="142">
        <f t="shared" si="66"/>
        <v>1159.2520319999999</v>
      </c>
      <c r="K123" s="149"/>
    </row>
    <row r="124" spans="1:14" s="151" customFormat="1" ht="30" x14ac:dyDescent="0.25">
      <c r="A124" s="141" t="s">
        <v>528</v>
      </c>
      <c r="B124" s="69" t="s">
        <v>714</v>
      </c>
      <c r="C124" s="69" t="s">
        <v>156</v>
      </c>
      <c r="D124" s="33" t="s">
        <v>402</v>
      </c>
      <c r="E124" s="69" t="s">
        <v>144</v>
      </c>
      <c r="F124" s="70">
        <v>62</v>
      </c>
      <c r="G124" s="71">
        <f ca="1">CPU!$H$114</f>
        <v>214.47149999999999</v>
      </c>
      <c r="H124" s="73">
        <f t="shared" ca="1" si="64"/>
        <v>262.66324604999994</v>
      </c>
      <c r="I124" s="77">
        <f t="shared" ca="1" si="65"/>
        <v>13297.233</v>
      </c>
      <c r="J124" s="142">
        <f t="shared" ca="1" si="66"/>
        <v>16285.121255099997</v>
      </c>
      <c r="K124" s="149"/>
    </row>
    <row r="125" spans="1:14" s="151" customFormat="1" ht="30" x14ac:dyDescent="0.25">
      <c r="A125" s="141" t="s">
        <v>529</v>
      </c>
      <c r="B125" s="69" t="s">
        <v>158</v>
      </c>
      <c r="C125" s="69" t="s">
        <v>156</v>
      </c>
      <c r="D125" s="33" t="s">
        <v>403</v>
      </c>
      <c r="E125" s="69" t="s">
        <v>144</v>
      </c>
      <c r="F125" s="70">
        <v>23</v>
      </c>
      <c r="G125" s="71">
        <f ca="1">CPU!$H$119</f>
        <v>297.41149999999999</v>
      </c>
      <c r="H125" s="73">
        <f t="shared" ca="1" si="64"/>
        <v>364.23986404999994</v>
      </c>
      <c r="I125" s="77">
        <f t="shared" ca="1" si="65"/>
        <v>6840.4645</v>
      </c>
      <c r="J125" s="142">
        <f t="shared" ca="1" si="66"/>
        <v>8377.516873149998</v>
      </c>
      <c r="K125" s="149"/>
    </row>
    <row r="126" spans="1:14" s="151" customFormat="1" x14ac:dyDescent="0.25">
      <c r="A126" s="141" t="s">
        <v>530</v>
      </c>
      <c r="B126" s="69" t="s">
        <v>159</v>
      </c>
      <c r="C126" s="69" t="s">
        <v>156</v>
      </c>
      <c r="D126" s="33" t="s">
        <v>404</v>
      </c>
      <c r="E126" s="69" t="s">
        <v>144</v>
      </c>
      <c r="F126" s="70">
        <v>6</v>
      </c>
      <c r="G126" s="71">
        <f ca="1">CPU!$G$124</f>
        <v>298.97149999999999</v>
      </c>
      <c r="H126" s="73">
        <f t="shared" ca="1" si="64"/>
        <v>366.15039604999998</v>
      </c>
      <c r="I126" s="77">
        <f t="shared" ca="1" si="65"/>
        <v>1793.829</v>
      </c>
      <c r="J126" s="142">
        <f t="shared" ca="1" si="66"/>
        <v>2196.9023763</v>
      </c>
      <c r="K126" s="149"/>
    </row>
    <row r="127" spans="1:14" s="151" customFormat="1" x14ac:dyDescent="0.25">
      <c r="A127" s="168"/>
      <c r="B127" s="169"/>
      <c r="C127" s="169"/>
      <c r="D127" s="169"/>
      <c r="E127" s="169"/>
      <c r="F127" s="169"/>
      <c r="G127" s="169"/>
      <c r="H127" s="169"/>
      <c r="I127" s="169"/>
      <c r="J127" s="165"/>
      <c r="K127" s="149"/>
    </row>
    <row r="128" spans="1:14" s="3" customFormat="1" x14ac:dyDescent="0.25">
      <c r="A128" s="140">
        <v>8</v>
      </c>
      <c r="B128" s="5"/>
      <c r="C128" s="5"/>
      <c r="D128" s="5" t="s">
        <v>460</v>
      </c>
      <c r="E128" s="5"/>
      <c r="F128" s="6"/>
      <c r="G128" s="7"/>
      <c r="H128" s="7"/>
      <c r="I128" s="4">
        <f ca="1">SUM(I129,I132,I141,I149,I160,I165,I176)</f>
        <v>107872.87</v>
      </c>
      <c r="J128" s="4">
        <f ca="1">SUM(J129,J132,J141,J149,J160,J165,J176)</f>
        <v>132111.90388900001</v>
      </c>
      <c r="K128" s="90"/>
      <c r="N128" s="57"/>
    </row>
    <row r="129" spans="1:14" s="180" customFormat="1" x14ac:dyDescent="0.25">
      <c r="A129" s="173" t="s">
        <v>59</v>
      </c>
      <c r="B129" s="174"/>
      <c r="C129" s="174"/>
      <c r="D129" s="174" t="s">
        <v>421</v>
      </c>
      <c r="E129" s="174"/>
      <c r="F129" s="175"/>
      <c r="G129" s="176"/>
      <c r="H129" s="176"/>
      <c r="I129" s="177">
        <f>SUM(I130:I131)</f>
        <v>356.39000000000004</v>
      </c>
      <c r="J129" s="177">
        <f>SUM(J130:J131)</f>
        <v>436.47083299999997</v>
      </c>
      <c r="K129" s="179"/>
      <c r="N129" s="181"/>
    </row>
    <row r="130" spans="1:14" s="151" customFormat="1" x14ac:dyDescent="0.25">
      <c r="A130" s="141" t="s">
        <v>145</v>
      </c>
      <c r="B130" s="69">
        <v>90456</v>
      </c>
      <c r="C130" s="69" t="s">
        <v>17</v>
      </c>
      <c r="D130" s="33" t="s">
        <v>455</v>
      </c>
      <c r="E130" s="69" t="s">
        <v>144</v>
      </c>
      <c r="F130" s="70">
        <f>F142+F143</f>
        <v>59</v>
      </c>
      <c r="G130" s="71">
        <v>5.44</v>
      </c>
      <c r="H130" s="73">
        <f t="shared" ref="H130:H131" si="67">G130*(1+$J$2)</f>
        <v>6.6623679999999998</v>
      </c>
      <c r="I130" s="77">
        <f>G130*F130</f>
        <v>320.96000000000004</v>
      </c>
      <c r="J130" s="142">
        <f t="shared" ref="J130:J131" si="68">H130*F130</f>
        <v>393.07971199999997</v>
      </c>
      <c r="K130" s="149"/>
    </row>
    <row r="131" spans="1:14" s="151" customFormat="1" ht="30" x14ac:dyDescent="0.25">
      <c r="A131" s="141" t="s">
        <v>1039</v>
      </c>
      <c r="B131" s="69">
        <v>90458</v>
      </c>
      <c r="C131" s="69" t="s">
        <v>17</v>
      </c>
      <c r="D131" s="33" t="s">
        <v>422</v>
      </c>
      <c r="E131" s="69" t="s">
        <v>144</v>
      </c>
      <c r="F131" s="70">
        <v>1</v>
      </c>
      <c r="G131" s="71">
        <v>35.43</v>
      </c>
      <c r="H131" s="73">
        <f t="shared" si="67"/>
        <v>43.391120999999998</v>
      </c>
      <c r="I131" s="77">
        <f>G131*F131</f>
        <v>35.43</v>
      </c>
      <c r="J131" s="142">
        <f t="shared" si="68"/>
        <v>43.391120999999998</v>
      </c>
      <c r="K131" s="149"/>
    </row>
    <row r="132" spans="1:14" s="180" customFormat="1" x14ac:dyDescent="0.25">
      <c r="A132" s="173" t="s">
        <v>154</v>
      </c>
      <c r="B132" s="174"/>
      <c r="C132" s="174"/>
      <c r="D132" s="174" t="s">
        <v>426</v>
      </c>
      <c r="E132" s="174"/>
      <c r="F132" s="175"/>
      <c r="G132" s="176"/>
      <c r="H132" s="176"/>
      <c r="I132" s="177">
        <f ca="1">SUM(I133:I140)</f>
        <v>12436.83</v>
      </c>
      <c r="J132" s="177">
        <f ca="1">SUM(J133:J140)</f>
        <v>15231.385700999999</v>
      </c>
      <c r="K132" s="179"/>
      <c r="N132" s="181"/>
    </row>
    <row r="133" spans="1:14" s="151" customFormat="1" ht="30" x14ac:dyDescent="0.25">
      <c r="A133" s="141" t="s">
        <v>155</v>
      </c>
      <c r="B133" s="69">
        <v>91925</v>
      </c>
      <c r="C133" s="69" t="s">
        <v>17</v>
      </c>
      <c r="D133" s="33" t="s">
        <v>429</v>
      </c>
      <c r="E133" s="69" t="s">
        <v>143</v>
      </c>
      <c r="F133" s="70">
        <f>300*3+175</f>
        <v>1075</v>
      </c>
      <c r="G133" s="71">
        <v>3.56</v>
      </c>
      <c r="H133" s="73">
        <f t="shared" ref="H133" si="69">G133*(1+$J$2)</f>
        <v>4.3599319999999997</v>
      </c>
      <c r="I133" s="77">
        <f>G133*F133</f>
        <v>3827</v>
      </c>
      <c r="J133" s="142">
        <f t="shared" ref="J133" si="70">H133*F133</f>
        <v>4686.9268999999995</v>
      </c>
      <c r="K133" s="149"/>
    </row>
    <row r="134" spans="1:14" s="151" customFormat="1" ht="30" x14ac:dyDescent="0.25">
      <c r="A134" s="141" t="s">
        <v>698</v>
      </c>
      <c r="B134" s="69">
        <v>91927</v>
      </c>
      <c r="C134" s="69" t="s">
        <v>17</v>
      </c>
      <c r="D134" s="33" t="s">
        <v>932</v>
      </c>
      <c r="E134" s="69" t="s">
        <v>143</v>
      </c>
      <c r="F134" s="70">
        <f>480*3</f>
        <v>1440</v>
      </c>
      <c r="G134" s="71">
        <v>4.8</v>
      </c>
      <c r="H134" s="73">
        <f t="shared" ref="H134:H140" si="71">G134*(1+$J$2)</f>
        <v>5.8785599999999993</v>
      </c>
      <c r="I134" s="77">
        <f t="shared" ref="I134:I140" si="72">G134*F134</f>
        <v>6912</v>
      </c>
      <c r="J134" s="142">
        <f t="shared" ref="J134:J140" si="73">H134*F134</f>
        <v>8465.1263999999992</v>
      </c>
      <c r="K134" s="149"/>
    </row>
    <row r="135" spans="1:14" s="151" customFormat="1" x14ac:dyDescent="0.25">
      <c r="A135" s="141" t="s">
        <v>1040</v>
      </c>
      <c r="B135" s="69" t="s">
        <v>944</v>
      </c>
      <c r="C135" s="69" t="s">
        <v>904</v>
      </c>
      <c r="D135" s="33" t="s">
        <v>943</v>
      </c>
      <c r="E135" s="69" t="s">
        <v>143</v>
      </c>
      <c r="F135" s="70">
        <v>100</v>
      </c>
      <c r="G135" s="71">
        <v>10.94</v>
      </c>
      <c r="H135" s="73">
        <f t="shared" si="71"/>
        <v>13.398217999999998</v>
      </c>
      <c r="I135" s="77">
        <f t="shared" si="72"/>
        <v>1094</v>
      </c>
      <c r="J135" s="142">
        <f t="shared" si="73"/>
        <v>1339.8217999999997</v>
      </c>
      <c r="K135" s="149"/>
    </row>
    <row r="136" spans="1:14" s="151" customFormat="1" x14ac:dyDescent="0.25">
      <c r="A136" s="141" t="s">
        <v>1041</v>
      </c>
      <c r="B136" s="69">
        <v>3301</v>
      </c>
      <c r="C136" s="69" t="s">
        <v>140</v>
      </c>
      <c r="D136" s="33" t="s">
        <v>432</v>
      </c>
      <c r="E136" s="69" t="s">
        <v>144</v>
      </c>
      <c r="F136" s="70">
        <v>200</v>
      </c>
      <c r="G136" s="71">
        <v>0.28999999999999998</v>
      </c>
      <c r="H136" s="73">
        <f t="shared" si="71"/>
        <v>0.35516299999999995</v>
      </c>
      <c r="I136" s="77">
        <f t="shared" si="72"/>
        <v>57.999999999999993</v>
      </c>
      <c r="J136" s="142">
        <f t="shared" si="73"/>
        <v>71.032599999999988</v>
      </c>
      <c r="K136" s="149"/>
    </row>
    <row r="137" spans="1:14" s="151" customFormat="1" x14ac:dyDescent="0.25">
      <c r="A137" s="141" t="s">
        <v>1042</v>
      </c>
      <c r="B137" s="69">
        <v>4015</v>
      </c>
      <c r="C137" s="69" t="s">
        <v>140</v>
      </c>
      <c r="D137" s="33" t="s">
        <v>431</v>
      </c>
      <c r="E137" s="69" t="s">
        <v>144</v>
      </c>
      <c r="F137" s="70">
        <v>5</v>
      </c>
      <c r="G137" s="71">
        <v>12.6</v>
      </c>
      <c r="H137" s="73">
        <f t="shared" si="71"/>
        <v>15.431219999999998</v>
      </c>
      <c r="I137" s="77">
        <f t="shared" si="72"/>
        <v>63</v>
      </c>
      <c r="J137" s="142">
        <f t="shared" si="73"/>
        <v>77.156099999999995</v>
      </c>
      <c r="K137" s="149"/>
    </row>
    <row r="138" spans="1:14" s="151" customFormat="1" ht="30" customHeight="1" x14ac:dyDescent="0.25">
      <c r="A138" s="141" t="s">
        <v>1043</v>
      </c>
      <c r="B138" s="78" t="str">
        <f>'COT.'!$A$272</f>
        <v>COT-46</v>
      </c>
      <c r="C138" s="69" t="s">
        <v>156</v>
      </c>
      <c r="D138" s="33" t="s">
        <v>459</v>
      </c>
      <c r="E138" s="69" t="s">
        <v>144</v>
      </c>
      <c r="F138" s="70">
        <v>10</v>
      </c>
      <c r="G138" s="71">
        <f ca="1">'COT.'!$E$272</f>
        <v>14.77</v>
      </c>
      <c r="H138" s="73">
        <f t="shared" ca="1" si="71"/>
        <v>18.088818999999997</v>
      </c>
      <c r="I138" s="77">
        <f t="shared" ca="1" si="72"/>
        <v>147.69999999999999</v>
      </c>
      <c r="J138" s="142">
        <f t="shared" ca="1" si="73"/>
        <v>180.88818999999998</v>
      </c>
      <c r="K138" s="149"/>
    </row>
    <row r="139" spans="1:14" s="151" customFormat="1" x14ac:dyDescent="0.25">
      <c r="A139" s="141" t="s">
        <v>1044</v>
      </c>
      <c r="B139" s="69" t="s">
        <v>434</v>
      </c>
      <c r="C139" s="69" t="s">
        <v>6</v>
      </c>
      <c r="D139" s="33" t="s">
        <v>433</v>
      </c>
      <c r="E139" s="69" t="s">
        <v>144</v>
      </c>
      <c r="F139" s="70">
        <v>1</v>
      </c>
      <c r="G139" s="71">
        <v>59.13</v>
      </c>
      <c r="H139" s="73">
        <f t="shared" si="71"/>
        <v>72.416511</v>
      </c>
      <c r="I139" s="77">
        <f t="shared" si="72"/>
        <v>59.13</v>
      </c>
      <c r="J139" s="142">
        <f t="shared" si="73"/>
        <v>72.416511</v>
      </c>
      <c r="K139" s="149"/>
    </row>
    <row r="140" spans="1:14" s="151" customFormat="1" x14ac:dyDescent="0.25">
      <c r="A140" s="141" t="s">
        <v>1045</v>
      </c>
      <c r="B140" s="69">
        <v>3252</v>
      </c>
      <c r="C140" s="69" t="s">
        <v>140</v>
      </c>
      <c r="D140" s="33" t="s">
        <v>435</v>
      </c>
      <c r="E140" s="69" t="s">
        <v>144</v>
      </c>
      <c r="F140" s="70">
        <v>300</v>
      </c>
      <c r="G140" s="71">
        <v>0.92</v>
      </c>
      <c r="H140" s="73">
        <f t="shared" si="71"/>
        <v>1.1267240000000001</v>
      </c>
      <c r="I140" s="77">
        <f t="shared" si="72"/>
        <v>276</v>
      </c>
      <c r="J140" s="142">
        <f t="shared" si="73"/>
        <v>338.0172</v>
      </c>
      <c r="K140" s="149"/>
    </row>
    <row r="141" spans="1:14" s="180" customFormat="1" x14ac:dyDescent="0.25">
      <c r="A141" s="173" t="s">
        <v>531</v>
      </c>
      <c r="B141" s="174"/>
      <c r="C141" s="174"/>
      <c r="D141" s="174" t="s">
        <v>461</v>
      </c>
      <c r="E141" s="174"/>
      <c r="F141" s="175"/>
      <c r="G141" s="176"/>
      <c r="H141" s="176"/>
      <c r="I141" s="177">
        <f>SUM(I142:I148)</f>
        <v>4248.29</v>
      </c>
      <c r="J141" s="177">
        <f>SUM(J142:J148)</f>
        <v>5202.8807630000001</v>
      </c>
      <c r="K141" s="179"/>
      <c r="N141" s="181"/>
    </row>
    <row r="142" spans="1:14" s="151" customFormat="1" ht="30" x14ac:dyDescent="0.25">
      <c r="A142" s="141" t="s">
        <v>532</v>
      </c>
      <c r="B142" s="69">
        <v>91940</v>
      </c>
      <c r="C142" s="69" t="s">
        <v>17</v>
      </c>
      <c r="D142" s="33" t="s">
        <v>152</v>
      </c>
      <c r="E142" s="69" t="s">
        <v>144</v>
      </c>
      <c r="F142" s="70">
        <v>52</v>
      </c>
      <c r="G142" s="71">
        <v>18.13</v>
      </c>
      <c r="H142" s="73">
        <f t="shared" ref="H142" si="74">G142*(1+$J$2)</f>
        <v>22.203810999999998</v>
      </c>
      <c r="I142" s="77">
        <f>G142*F142</f>
        <v>942.76</v>
      </c>
      <c r="J142" s="142">
        <f t="shared" ref="J142" si="75">H142*F142</f>
        <v>1154.598172</v>
      </c>
      <c r="K142" s="149"/>
    </row>
    <row r="143" spans="1:14" s="151" customFormat="1" ht="30" x14ac:dyDescent="0.25">
      <c r="A143" s="141" t="s">
        <v>533</v>
      </c>
      <c r="B143" s="69">
        <v>91943</v>
      </c>
      <c r="C143" s="69" t="s">
        <v>17</v>
      </c>
      <c r="D143" s="33" t="s">
        <v>934</v>
      </c>
      <c r="E143" s="69" t="s">
        <v>144</v>
      </c>
      <c r="F143" s="70">
        <v>7</v>
      </c>
      <c r="G143" s="71">
        <v>21.34</v>
      </c>
      <c r="H143" s="73">
        <f t="shared" ref="H143:H148" si="76">G143*(1+$J$2)</f>
        <v>26.135097999999999</v>
      </c>
      <c r="I143" s="77">
        <f t="shared" ref="I143:I148" si="77">G143*F143</f>
        <v>149.38</v>
      </c>
      <c r="J143" s="142">
        <f t="shared" ref="J143:J148" si="78">H143*F143</f>
        <v>182.94568599999999</v>
      </c>
      <c r="K143" s="149"/>
    </row>
    <row r="144" spans="1:14" s="151" customFormat="1" ht="30" x14ac:dyDescent="0.25">
      <c r="A144" s="141" t="s">
        <v>699</v>
      </c>
      <c r="B144" s="69">
        <v>91953</v>
      </c>
      <c r="C144" s="69" t="s">
        <v>17</v>
      </c>
      <c r="D144" s="33" t="s">
        <v>935</v>
      </c>
      <c r="E144" s="69" t="s">
        <v>144</v>
      </c>
      <c r="F144" s="70">
        <v>16</v>
      </c>
      <c r="G144" s="71">
        <v>29.22</v>
      </c>
      <c r="H144" s="73">
        <f t="shared" si="76"/>
        <v>35.785733999999998</v>
      </c>
      <c r="I144" s="77">
        <f t="shared" si="77"/>
        <v>467.52</v>
      </c>
      <c r="J144" s="142">
        <f t="shared" si="78"/>
        <v>572.57174399999997</v>
      </c>
      <c r="K144" s="149"/>
    </row>
    <row r="145" spans="1:14" s="151" customFormat="1" ht="30" x14ac:dyDescent="0.25">
      <c r="A145" s="141" t="s">
        <v>700</v>
      </c>
      <c r="B145" s="69">
        <v>91959</v>
      </c>
      <c r="C145" s="69" t="s">
        <v>17</v>
      </c>
      <c r="D145" s="33" t="s">
        <v>936</v>
      </c>
      <c r="E145" s="69" t="s">
        <v>144</v>
      </c>
      <c r="F145" s="70">
        <v>3</v>
      </c>
      <c r="G145" s="71">
        <v>44.47</v>
      </c>
      <c r="H145" s="73">
        <f t="shared" si="76"/>
        <v>54.462408999999994</v>
      </c>
      <c r="I145" s="77">
        <f t="shared" si="77"/>
        <v>133.41</v>
      </c>
      <c r="J145" s="142">
        <f t="shared" si="78"/>
        <v>163.387227</v>
      </c>
      <c r="K145" s="149"/>
    </row>
    <row r="146" spans="1:14" s="151" customFormat="1" ht="30" x14ac:dyDescent="0.25">
      <c r="A146" s="141" t="s">
        <v>1046</v>
      </c>
      <c r="B146" s="69">
        <v>91967</v>
      </c>
      <c r="C146" s="69" t="s">
        <v>17</v>
      </c>
      <c r="D146" s="33" t="s">
        <v>452</v>
      </c>
      <c r="E146" s="69" t="s">
        <v>144</v>
      </c>
      <c r="F146" s="70">
        <v>3</v>
      </c>
      <c r="G146" s="71">
        <v>59.73</v>
      </c>
      <c r="H146" s="73">
        <f t="shared" si="76"/>
        <v>73.151330999999985</v>
      </c>
      <c r="I146" s="77">
        <f t="shared" si="77"/>
        <v>179.19</v>
      </c>
      <c r="J146" s="142">
        <f t="shared" si="78"/>
        <v>219.45399299999997</v>
      </c>
      <c r="K146" s="149"/>
    </row>
    <row r="147" spans="1:14" s="151" customFormat="1" ht="30" x14ac:dyDescent="0.25">
      <c r="A147" s="141" t="s">
        <v>1047</v>
      </c>
      <c r="B147" s="69">
        <v>92005</v>
      </c>
      <c r="C147" s="69" t="s">
        <v>17</v>
      </c>
      <c r="D147" s="33" t="s">
        <v>454</v>
      </c>
      <c r="E147" s="69" t="s">
        <v>144</v>
      </c>
      <c r="F147" s="70">
        <v>30</v>
      </c>
      <c r="G147" s="71">
        <v>59.16</v>
      </c>
      <c r="H147" s="73">
        <f t="shared" si="76"/>
        <v>72.453251999999992</v>
      </c>
      <c r="I147" s="77">
        <f t="shared" si="77"/>
        <v>1774.8</v>
      </c>
      <c r="J147" s="142">
        <f t="shared" si="78"/>
        <v>2173.5975599999997</v>
      </c>
      <c r="K147" s="149"/>
    </row>
    <row r="148" spans="1:14" s="151" customFormat="1" ht="30" x14ac:dyDescent="0.25">
      <c r="A148" s="141" t="s">
        <v>1048</v>
      </c>
      <c r="B148" s="69">
        <v>92019</v>
      </c>
      <c r="C148" s="69" t="s">
        <v>17</v>
      </c>
      <c r="D148" s="33" t="s">
        <v>933</v>
      </c>
      <c r="E148" s="69" t="s">
        <v>144</v>
      </c>
      <c r="F148" s="70">
        <v>7</v>
      </c>
      <c r="G148" s="71">
        <v>85.89</v>
      </c>
      <c r="H148" s="73">
        <f t="shared" si="76"/>
        <v>105.189483</v>
      </c>
      <c r="I148" s="77">
        <f t="shared" si="77"/>
        <v>601.23</v>
      </c>
      <c r="J148" s="142">
        <f t="shared" si="78"/>
        <v>736.32638099999997</v>
      </c>
      <c r="K148" s="149"/>
    </row>
    <row r="149" spans="1:14" s="180" customFormat="1" x14ac:dyDescent="0.25">
      <c r="A149" s="173" t="s">
        <v>534</v>
      </c>
      <c r="B149" s="174"/>
      <c r="C149" s="174"/>
      <c r="D149" s="174" t="s">
        <v>436</v>
      </c>
      <c r="E149" s="174"/>
      <c r="F149" s="175"/>
      <c r="G149" s="176"/>
      <c r="H149" s="176"/>
      <c r="I149" s="177">
        <f>SUM(I150:I159)</f>
        <v>30390.710000000003</v>
      </c>
      <c r="J149" s="177">
        <f>SUM(J150:J159)</f>
        <v>37219.502537</v>
      </c>
      <c r="K149" s="179"/>
      <c r="N149" s="181"/>
    </row>
    <row r="150" spans="1:14" s="151" customFormat="1" ht="30" x14ac:dyDescent="0.25">
      <c r="A150" s="141" t="s">
        <v>535</v>
      </c>
      <c r="B150" s="69" t="s">
        <v>440</v>
      </c>
      <c r="C150" s="69" t="s">
        <v>6</v>
      </c>
      <c r="D150" s="33" t="s">
        <v>902</v>
      </c>
      <c r="E150" s="69" t="s">
        <v>143</v>
      </c>
      <c r="F150" s="70">
        <f>77*3</f>
        <v>231</v>
      </c>
      <c r="G150" s="71">
        <v>21.9</v>
      </c>
      <c r="H150" s="73">
        <f t="shared" ref="H150" si="79">G150*(1+$J$2)</f>
        <v>26.820929999999997</v>
      </c>
      <c r="I150" s="77">
        <f>G150*F150</f>
        <v>5058.8999999999996</v>
      </c>
      <c r="J150" s="142">
        <f t="shared" ref="J150" si="80">H150*F150</f>
        <v>6195.6348299999991</v>
      </c>
      <c r="K150" s="149"/>
    </row>
    <row r="151" spans="1:14" s="151" customFormat="1" ht="30" x14ac:dyDescent="0.25">
      <c r="A151" s="141" t="s">
        <v>536</v>
      </c>
      <c r="B151" s="69" t="s">
        <v>442</v>
      </c>
      <c r="C151" s="69" t="s">
        <v>6</v>
      </c>
      <c r="D151" s="33" t="s">
        <v>441</v>
      </c>
      <c r="E151" s="69" t="s">
        <v>143</v>
      </c>
      <c r="F151" s="70">
        <f>56*3</f>
        <v>168</v>
      </c>
      <c r="G151" s="71">
        <v>20.87</v>
      </c>
      <c r="H151" s="73">
        <f t="shared" ref="H151:H155" si="81">G151*(1+$J$2)</f>
        <v>25.559488999999999</v>
      </c>
      <c r="I151" s="77">
        <f t="shared" ref="I151:I155" si="82">G151*F151</f>
        <v>3506.1600000000003</v>
      </c>
      <c r="J151" s="142">
        <f t="shared" ref="J151:J155" si="83">H151*F151</f>
        <v>4293.9941520000002</v>
      </c>
      <c r="K151" s="149"/>
    </row>
    <row r="152" spans="1:14" s="151" customFormat="1" ht="30" x14ac:dyDescent="0.25">
      <c r="A152" s="141" t="s">
        <v>537</v>
      </c>
      <c r="B152" s="69">
        <v>95801</v>
      </c>
      <c r="C152" s="69" t="s">
        <v>17</v>
      </c>
      <c r="D152" s="33" t="s">
        <v>444</v>
      </c>
      <c r="E152" s="69" t="s">
        <v>144</v>
      </c>
      <c r="F152" s="70">
        <v>118</v>
      </c>
      <c r="G152" s="71">
        <v>40.840000000000003</v>
      </c>
      <c r="H152" s="73">
        <f t="shared" si="81"/>
        <v>50.016748</v>
      </c>
      <c r="I152" s="77">
        <f t="shared" si="82"/>
        <v>4819.1200000000008</v>
      </c>
      <c r="J152" s="142">
        <f t="shared" si="83"/>
        <v>5901.9762639999999</v>
      </c>
      <c r="K152" s="149"/>
    </row>
    <row r="153" spans="1:14" s="151" customFormat="1" ht="30" x14ac:dyDescent="0.25">
      <c r="A153" s="141" t="s">
        <v>538</v>
      </c>
      <c r="B153" s="69">
        <v>11304</v>
      </c>
      <c r="C153" s="69" t="s">
        <v>140</v>
      </c>
      <c r="D153" s="33" t="s">
        <v>879</v>
      </c>
      <c r="E153" s="69" t="s">
        <v>144</v>
      </c>
      <c r="F153" s="70">
        <v>240</v>
      </c>
      <c r="G153" s="71">
        <v>4.0999999999999996</v>
      </c>
      <c r="H153" s="73">
        <f t="shared" si="81"/>
        <v>5.0212699999999995</v>
      </c>
      <c r="I153" s="77">
        <f t="shared" si="82"/>
        <v>983.99999999999989</v>
      </c>
      <c r="J153" s="142">
        <f t="shared" si="83"/>
        <v>1205.1047999999998</v>
      </c>
      <c r="K153" s="149"/>
    </row>
    <row r="154" spans="1:14" s="151" customFormat="1" x14ac:dyDescent="0.25">
      <c r="A154" s="141" t="s">
        <v>539</v>
      </c>
      <c r="B154" s="69">
        <v>10327</v>
      </c>
      <c r="C154" s="69" t="s">
        <v>140</v>
      </c>
      <c r="D154" s="33" t="s">
        <v>670</v>
      </c>
      <c r="E154" s="69" t="s">
        <v>144</v>
      </c>
      <c r="F154" s="70">
        <v>231</v>
      </c>
      <c r="G154" s="71">
        <v>6.32</v>
      </c>
      <c r="H154" s="73">
        <f t="shared" si="81"/>
        <v>7.7401039999999997</v>
      </c>
      <c r="I154" s="77">
        <f t="shared" si="82"/>
        <v>1459.92</v>
      </c>
      <c r="J154" s="142">
        <f t="shared" si="83"/>
        <v>1787.9640239999999</v>
      </c>
      <c r="K154" s="149"/>
    </row>
    <row r="155" spans="1:14" s="151" customFormat="1" ht="30" x14ac:dyDescent="0.25">
      <c r="A155" s="141" t="s">
        <v>701</v>
      </c>
      <c r="B155" s="69">
        <v>7384</v>
      </c>
      <c r="C155" s="69" t="s">
        <v>140</v>
      </c>
      <c r="D155" s="33" t="s">
        <v>918</v>
      </c>
      <c r="E155" s="69" t="s">
        <v>143</v>
      </c>
      <c r="F155" s="70">
        <f>F150+F151</f>
        <v>399</v>
      </c>
      <c r="G155" s="71">
        <v>23.2</v>
      </c>
      <c r="H155" s="73">
        <f t="shared" si="81"/>
        <v>28.413039999999995</v>
      </c>
      <c r="I155" s="77">
        <f t="shared" si="82"/>
        <v>9256.7999999999993</v>
      </c>
      <c r="J155" s="142">
        <f t="shared" si="83"/>
        <v>11336.802959999997</v>
      </c>
      <c r="K155" s="149"/>
    </row>
    <row r="156" spans="1:14" s="151" customFormat="1" x14ac:dyDescent="0.25">
      <c r="A156" s="141" t="s">
        <v>1049</v>
      </c>
      <c r="B156" s="69">
        <v>12500</v>
      </c>
      <c r="C156" s="69" t="s">
        <v>140</v>
      </c>
      <c r="D156" s="33" t="s">
        <v>919</v>
      </c>
      <c r="E156" s="69" t="s">
        <v>144</v>
      </c>
      <c r="F156" s="70">
        <v>231</v>
      </c>
      <c r="G156" s="71">
        <v>6.87</v>
      </c>
      <c r="H156" s="73">
        <f t="shared" ref="H156:H159" si="84">G156*(1+$J$2)</f>
        <v>8.4136889999999998</v>
      </c>
      <c r="I156" s="77">
        <f t="shared" ref="I156:I159" si="85">G156*F156</f>
        <v>1586.97</v>
      </c>
      <c r="J156" s="142">
        <f t="shared" ref="J156:J159" si="86">H156*F156</f>
        <v>1943.5621589999998</v>
      </c>
      <c r="K156" s="149"/>
    </row>
    <row r="157" spans="1:14" s="151" customFormat="1" x14ac:dyDescent="0.25">
      <c r="A157" s="141" t="s">
        <v>1050</v>
      </c>
      <c r="B157" s="69">
        <v>9816</v>
      </c>
      <c r="C157" s="69" t="s">
        <v>140</v>
      </c>
      <c r="D157" s="33" t="s">
        <v>449</v>
      </c>
      <c r="E157" s="69" t="s">
        <v>144</v>
      </c>
      <c r="F157" s="70">
        <f>462*2</f>
        <v>924</v>
      </c>
      <c r="G157" s="71">
        <v>0.46</v>
      </c>
      <c r="H157" s="73">
        <f t="shared" si="84"/>
        <v>0.56336200000000003</v>
      </c>
      <c r="I157" s="77">
        <f t="shared" si="85"/>
        <v>425.04</v>
      </c>
      <c r="J157" s="142">
        <f t="shared" si="86"/>
        <v>520.54648800000007</v>
      </c>
      <c r="K157" s="149"/>
    </row>
    <row r="158" spans="1:14" s="151" customFormat="1" x14ac:dyDescent="0.25">
      <c r="A158" s="141" t="s">
        <v>1051</v>
      </c>
      <c r="B158" s="69">
        <v>9832</v>
      </c>
      <c r="C158" s="69" t="s">
        <v>140</v>
      </c>
      <c r="D158" s="33" t="s">
        <v>451</v>
      </c>
      <c r="E158" s="69" t="s">
        <v>144</v>
      </c>
      <c r="F158" s="70">
        <f>462*2</f>
        <v>924</v>
      </c>
      <c r="G158" s="71">
        <v>1.2</v>
      </c>
      <c r="H158" s="73">
        <f t="shared" si="84"/>
        <v>1.4696399999999998</v>
      </c>
      <c r="I158" s="77">
        <f t="shared" si="85"/>
        <v>1108.8</v>
      </c>
      <c r="J158" s="142">
        <f t="shared" si="86"/>
        <v>1357.9473599999999</v>
      </c>
      <c r="K158" s="149"/>
    </row>
    <row r="159" spans="1:14" s="151" customFormat="1" x14ac:dyDescent="0.25">
      <c r="A159" s="141" t="s">
        <v>1052</v>
      </c>
      <c r="B159" s="69">
        <v>10620</v>
      </c>
      <c r="C159" s="69" t="s">
        <v>140</v>
      </c>
      <c r="D159" s="33" t="s">
        <v>462</v>
      </c>
      <c r="E159" s="69" t="s">
        <v>144</v>
      </c>
      <c r="F159" s="70">
        <v>500</v>
      </c>
      <c r="G159" s="71">
        <v>4.37</v>
      </c>
      <c r="H159" s="73">
        <f t="shared" si="84"/>
        <v>5.3519389999999998</v>
      </c>
      <c r="I159" s="77">
        <f t="shared" si="85"/>
        <v>2185</v>
      </c>
      <c r="J159" s="142">
        <f t="shared" si="86"/>
        <v>2675.9694999999997</v>
      </c>
      <c r="K159" s="149"/>
    </row>
    <row r="160" spans="1:14" s="180" customFormat="1" x14ac:dyDescent="0.25">
      <c r="A160" s="173" t="s">
        <v>540</v>
      </c>
      <c r="B160" s="174"/>
      <c r="C160" s="174"/>
      <c r="D160" s="174" t="s">
        <v>446</v>
      </c>
      <c r="E160" s="174"/>
      <c r="F160" s="175"/>
      <c r="G160" s="176"/>
      <c r="H160" s="176"/>
      <c r="I160" s="177">
        <f>SUM(I161:I164)</f>
        <v>545.78</v>
      </c>
      <c r="J160" s="177">
        <f>SUM(J161:J164)</f>
        <v>668.41676599999982</v>
      </c>
      <c r="K160" s="179"/>
      <c r="N160" s="181"/>
    </row>
    <row r="161" spans="1:14" s="151" customFormat="1" ht="30" x14ac:dyDescent="0.25">
      <c r="A161" s="141" t="s">
        <v>541</v>
      </c>
      <c r="B161" s="69">
        <v>723</v>
      </c>
      <c r="C161" s="69" t="s">
        <v>140</v>
      </c>
      <c r="D161" s="33" t="s">
        <v>448</v>
      </c>
      <c r="E161" s="69" t="s">
        <v>144</v>
      </c>
      <c r="F161" s="70">
        <v>29</v>
      </c>
      <c r="G161" s="71">
        <v>6.9</v>
      </c>
      <c r="H161" s="73">
        <f t="shared" ref="H161" si="87">G161*(1+$J$2)</f>
        <v>8.450429999999999</v>
      </c>
      <c r="I161" s="77">
        <f>G161*F161</f>
        <v>200.10000000000002</v>
      </c>
      <c r="J161" s="142">
        <f t="shared" ref="J161" si="88">H161*F161</f>
        <v>245.06246999999996</v>
      </c>
      <c r="K161" s="149"/>
    </row>
    <row r="162" spans="1:14" s="151" customFormat="1" x14ac:dyDescent="0.25">
      <c r="A162" s="141" t="s">
        <v>542</v>
      </c>
      <c r="B162" s="69">
        <v>9816</v>
      </c>
      <c r="C162" s="69" t="s">
        <v>140</v>
      </c>
      <c r="D162" s="33" t="s">
        <v>449</v>
      </c>
      <c r="E162" s="69" t="s">
        <v>144</v>
      </c>
      <c r="F162" s="70">
        <v>58</v>
      </c>
      <c r="G162" s="71">
        <v>0.46</v>
      </c>
      <c r="H162" s="73">
        <f t="shared" ref="H162:H164" si="89">G162*(1+$J$2)</f>
        <v>0.56336200000000003</v>
      </c>
      <c r="I162" s="77">
        <f t="shared" ref="I162:I164" si="90">G162*F162</f>
        <v>26.68</v>
      </c>
      <c r="J162" s="142">
        <f t="shared" ref="J162:J164" si="91">H162*F162</f>
        <v>32.674996</v>
      </c>
      <c r="K162" s="149"/>
    </row>
    <row r="163" spans="1:14" s="151" customFormat="1" x14ac:dyDescent="0.25">
      <c r="A163" s="141" t="s">
        <v>543</v>
      </c>
      <c r="B163" s="69">
        <v>12494</v>
      </c>
      <c r="C163" s="69" t="s">
        <v>140</v>
      </c>
      <c r="D163" s="33" t="s">
        <v>450</v>
      </c>
      <c r="E163" s="69" t="s">
        <v>144</v>
      </c>
      <c r="F163" s="70">
        <v>58</v>
      </c>
      <c r="G163" s="71">
        <v>4.3</v>
      </c>
      <c r="H163" s="73">
        <f t="shared" si="89"/>
        <v>5.2662099999999992</v>
      </c>
      <c r="I163" s="77">
        <f t="shared" si="90"/>
        <v>249.39999999999998</v>
      </c>
      <c r="J163" s="142">
        <f t="shared" si="91"/>
        <v>305.44017999999994</v>
      </c>
      <c r="K163" s="149"/>
    </row>
    <row r="164" spans="1:14" s="151" customFormat="1" x14ac:dyDescent="0.25">
      <c r="A164" s="141" t="s">
        <v>544</v>
      </c>
      <c r="B164" s="69">
        <v>9832</v>
      </c>
      <c r="C164" s="69" t="s">
        <v>140</v>
      </c>
      <c r="D164" s="33" t="s">
        <v>451</v>
      </c>
      <c r="E164" s="69" t="s">
        <v>144</v>
      </c>
      <c r="F164" s="70">
        <v>58</v>
      </c>
      <c r="G164" s="71">
        <v>1.2</v>
      </c>
      <c r="H164" s="73">
        <f t="shared" si="89"/>
        <v>1.4696399999999998</v>
      </c>
      <c r="I164" s="77">
        <f t="shared" si="90"/>
        <v>69.599999999999994</v>
      </c>
      <c r="J164" s="142">
        <f t="shared" si="91"/>
        <v>85.239119999999986</v>
      </c>
      <c r="K164" s="149"/>
    </row>
    <row r="165" spans="1:14" s="180" customFormat="1" x14ac:dyDescent="0.25">
      <c r="A165" s="173" t="s">
        <v>1053</v>
      </c>
      <c r="B165" s="174"/>
      <c r="C165" s="174"/>
      <c r="D165" s="174" t="s">
        <v>937</v>
      </c>
      <c r="E165" s="174"/>
      <c r="F165" s="175"/>
      <c r="G165" s="176"/>
      <c r="H165" s="176"/>
      <c r="I165" s="177">
        <f ca="1">SUM(I166:I175)</f>
        <v>56215.33</v>
      </c>
      <c r="J165" s="177">
        <f ca="1">SUM(J166:J175)</f>
        <v>68846.914650999999</v>
      </c>
      <c r="K165" s="179"/>
      <c r="N165" s="181"/>
    </row>
    <row r="166" spans="1:14" s="151" customFormat="1" ht="45" x14ac:dyDescent="0.25">
      <c r="A166" s="141" t="s">
        <v>1054</v>
      </c>
      <c r="B166" s="69">
        <v>101880</v>
      </c>
      <c r="C166" s="69" t="s">
        <v>17</v>
      </c>
      <c r="D166" s="33" t="s">
        <v>942</v>
      </c>
      <c r="E166" s="69" t="s">
        <v>144</v>
      </c>
      <c r="F166" s="70">
        <v>1</v>
      </c>
      <c r="G166" s="71">
        <v>605.69000000000005</v>
      </c>
      <c r="H166" s="73">
        <f t="shared" ref="H166" si="92">G166*(1+$J$2)</f>
        <v>741.788543</v>
      </c>
      <c r="I166" s="77">
        <f>G166*F166</f>
        <v>605.69000000000005</v>
      </c>
      <c r="J166" s="142">
        <f t="shared" ref="J166" si="93">H166*F166</f>
        <v>741.788543</v>
      </c>
      <c r="K166" s="149"/>
    </row>
    <row r="167" spans="1:14" s="151" customFormat="1" ht="30" x14ac:dyDescent="0.25">
      <c r="A167" s="141" t="s">
        <v>1055</v>
      </c>
      <c r="B167" s="69" t="s">
        <v>901</v>
      </c>
      <c r="C167" s="69" t="s">
        <v>6</v>
      </c>
      <c r="D167" s="33" t="s">
        <v>900</v>
      </c>
      <c r="E167" s="69" t="s">
        <v>144</v>
      </c>
      <c r="F167" s="70">
        <v>1</v>
      </c>
      <c r="G167" s="71">
        <v>383.87</v>
      </c>
      <c r="H167" s="73">
        <f t="shared" ref="H167:H175" si="94">G167*(1+$J$2)</f>
        <v>470.12558899999999</v>
      </c>
      <c r="I167" s="77">
        <f t="shared" ref="I167:I175" si="95">G167*F167</f>
        <v>383.87</v>
      </c>
      <c r="J167" s="142">
        <f t="shared" ref="J167:J175" si="96">H167*F167</f>
        <v>470.12558899999999</v>
      </c>
      <c r="K167" s="149"/>
    </row>
    <row r="168" spans="1:14" s="151" customFormat="1" ht="29.25" customHeight="1" x14ac:dyDescent="0.25">
      <c r="A168" s="141" t="s">
        <v>1056</v>
      </c>
      <c r="B168" s="69">
        <v>93655</v>
      </c>
      <c r="C168" s="69" t="s">
        <v>17</v>
      </c>
      <c r="D168" s="33" t="s">
        <v>899</v>
      </c>
      <c r="E168" s="69" t="s">
        <v>144</v>
      </c>
      <c r="F168" s="70">
        <v>15</v>
      </c>
      <c r="G168" s="71">
        <v>19.309999999999999</v>
      </c>
      <c r="H168" s="73">
        <f t="shared" si="94"/>
        <v>23.648956999999996</v>
      </c>
      <c r="I168" s="77">
        <f t="shared" si="95"/>
        <v>289.64999999999998</v>
      </c>
      <c r="J168" s="142">
        <f t="shared" si="96"/>
        <v>354.73435499999994</v>
      </c>
      <c r="K168" s="149"/>
    </row>
    <row r="169" spans="1:14" s="151" customFormat="1" ht="30" x14ac:dyDescent="0.25">
      <c r="A169" s="141" t="s">
        <v>1057</v>
      </c>
      <c r="B169" s="69">
        <v>93654</v>
      </c>
      <c r="C169" s="69" t="s">
        <v>17</v>
      </c>
      <c r="D169" s="33" t="s">
        <v>752</v>
      </c>
      <c r="E169" s="69" t="s">
        <v>144</v>
      </c>
      <c r="F169" s="70">
        <v>3</v>
      </c>
      <c r="G169" s="71">
        <v>17.920000000000002</v>
      </c>
      <c r="H169" s="73">
        <f t="shared" si="94"/>
        <v>21.946624</v>
      </c>
      <c r="I169" s="77">
        <f t="shared" si="95"/>
        <v>53.760000000000005</v>
      </c>
      <c r="J169" s="142">
        <f t="shared" si="96"/>
        <v>65.839872</v>
      </c>
      <c r="K169" s="149"/>
    </row>
    <row r="170" spans="1:14" s="151" customFormat="1" x14ac:dyDescent="0.25">
      <c r="A170" s="141" t="s">
        <v>1058</v>
      </c>
      <c r="B170" s="69" t="s">
        <v>425</v>
      </c>
      <c r="C170" s="69" t="s">
        <v>6</v>
      </c>
      <c r="D170" s="33" t="s">
        <v>424</v>
      </c>
      <c r="E170" s="69" t="s">
        <v>144</v>
      </c>
      <c r="F170" s="70">
        <v>4</v>
      </c>
      <c r="G170" s="71">
        <v>107.61</v>
      </c>
      <c r="H170" s="73">
        <f t="shared" si="94"/>
        <v>131.78996699999999</v>
      </c>
      <c r="I170" s="77">
        <f t="shared" si="95"/>
        <v>430.44</v>
      </c>
      <c r="J170" s="142">
        <f t="shared" si="96"/>
        <v>527.15986799999996</v>
      </c>
      <c r="K170" s="149"/>
    </row>
    <row r="171" spans="1:14" s="151" customFormat="1" x14ac:dyDescent="0.25">
      <c r="A171" s="141" t="s">
        <v>1059</v>
      </c>
      <c r="B171" s="69" t="s">
        <v>160</v>
      </c>
      <c r="C171" s="69" t="s">
        <v>106</v>
      </c>
      <c r="D171" s="33" t="s">
        <v>941</v>
      </c>
      <c r="E171" s="69" t="s">
        <v>144</v>
      </c>
      <c r="F171" s="70">
        <v>1</v>
      </c>
      <c r="G171" s="71">
        <f ca="1">CPU!H129</f>
        <v>820.55</v>
      </c>
      <c r="H171" s="73">
        <f t="shared" ca="1" si="94"/>
        <v>1004.9275849999999</v>
      </c>
      <c r="I171" s="77">
        <f t="shared" ca="1" si="95"/>
        <v>820.55</v>
      </c>
      <c r="J171" s="142">
        <f t="shared" ca="1" si="96"/>
        <v>1004.9275849999999</v>
      </c>
      <c r="K171" s="149"/>
    </row>
    <row r="172" spans="1:14" s="151" customFormat="1" x14ac:dyDescent="0.25">
      <c r="A172" s="141" t="s">
        <v>1060</v>
      </c>
      <c r="B172" s="78" t="str">
        <f>'COT.'!$A$290</f>
        <v>COT-49</v>
      </c>
      <c r="C172" s="69" t="s">
        <v>106</v>
      </c>
      <c r="D172" s="33" t="str">
        <f>'COT.'!$B$290</f>
        <v>ETIQUETAS DE IDENTIFICAÇÃO AUTO-ADESIVAS (PACOTE COM 280 UN.)</v>
      </c>
      <c r="E172" s="69" t="s">
        <v>144</v>
      </c>
      <c r="F172" s="70">
        <v>1</v>
      </c>
      <c r="G172" s="71">
        <f ca="1">'COT.'!$E$290</f>
        <v>5.8</v>
      </c>
      <c r="H172" s="73">
        <f t="shared" ca="1" si="94"/>
        <v>7.1032599999999988</v>
      </c>
      <c r="I172" s="77">
        <f t="shared" ca="1" si="95"/>
        <v>5.8</v>
      </c>
      <c r="J172" s="142">
        <f t="shared" ca="1" si="96"/>
        <v>7.1032599999999988</v>
      </c>
      <c r="K172" s="149"/>
    </row>
    <row r="173" spans="1:14" s="151" customFormat="1" x14ac:dyDescent="0.25">
      <c r="A173" s="141" t="s">
        <v>1061</v>
      </c>
      <c r="B173" s="78" t="str">
        <f>'COT.'!$A$296</f>
        <v>COT-50</v>
      </c>
      <c r="C173" s="69" t="s">
        <v>106</v>
      </c>
      <c r="D173" s="33" t="s">
        <v>457</v>
      </c>
      <c r="E173" s="69" t="s">
        <v>458</v>
      </c>
      <c r="F173" s="70">
        <v>1</v>
      </c>
      <c r="G173" s="71">
        <f ca="1">'COT.'!$E$296</f>
        <v>5.99</v>
      </c>
      <c r="H173" s="73">
        <f t="shared" ca="1" si="94"/>
        <v>7.3359529999999999</v>
      </c>
      <c r="I173" s="77">
        <f t="shared" ca="1" si="95"/>
        <v>5.99</v>
      </c>
      <c r="J173" s="142">
        <f t="shared" ca="1" si="96"/>
        <v>7.3359529999999999</v>
      </c>
      <c r="K173" s="149"/>
    </row>
    <row r="174" spans="1:14" s="151" customFormat="1" x14ac:dyDescent="0.25">
      <c r="A174" s="141" t="s">
        <v>1062</v>
      </c>
      <c r="B174" s="69" t="s">
        <v>972</v>
      </c>
      <c r="C174" s="69" t="s">
        <v>156</v>
      </c>
      <c r="D174" s="33" t="s">
        <v>691</v>
      </c>
      <c r="E174" s="69" t="s">
        <v>445</v>
      </c>
      <c r="F174" s="70">
        <v>1</v>
      </c>
      <c r="G174" s="71">
        <f>CPU!H134</f>
        <v>305.26</v>
      </c>
      <c r="H174" s="73">
        <f t="shared" si="94"/>
        <v>373.85192199999995</v>
      </c>
      <c r="I174" s="77">
        <f t="shared" si="95"/>
        <v>305.26</v>
      </c>
      <c r="J174" s="142">
        <f t="shared" si="96"/>
        <v>373.85192199999995</v>
      </c>
      <c r="K174" s="149"/>
    </row>
    <row r="175" spans="1:14" s="151" customFormat="1" x14ac:dyDescent="0.25">
      <c r="A175" s="141" t="s">
        <v>1063</v>
      </c>
      <c r="B175" s="69" t="s">
        <v>973</v>
      </c>
      <c r="C175" s="69" t="s">
        <v>156</v>
      </c>
      <c r="D175" s="33" t="s">
        <v>940</v>
      </c>
      <c r="E175" s="69" t="s">
        <v>144</v>
      </c>
      <c r="F175" s="70">
        <v>1</v>
      </c>
      <c r="G175" s="71">
        <f ca="1">CPU!H141</f>
        <v>53314.32</v>
      </c>
      <c r="H175" s="73">
        <f t="shared" ca="1" si="94"/>
        <v>65294.047703999997</v>
      </c>
      <c r="I175" s="77">
        <f t="shared" ca="1" si="95"/>
        <v>53314.32</v>
      </c>
      <c r="J175" s="142">
        <f t="shared" ca="1" si="96"/>
        <v>65294.047703999997</v>
      </c>
      <c r="K175" s="149"/>
    </row>
    <row r="176" spans="1:14" s="180" customFormat="1" x14ac:dyDescent="0.25">
      <c r="A176" s="173" t="s">
        <v>1064</v>
      </c>
      <c r="B176" s="174"/>
      <c r="C176" s="174"/>
      <c r="D176" s="174" t="s">
        <v>938</v>
      </c>
      <c r="E176" s="174"/>
      <c r="F176" s="182"/>
      <c r="G176" s="176"/>
      <c r="H176" s="176"/>
      <c r="I176" s="177">
        <f ca="1">SUM(I177:I182)</f>
        <v>3679.5400000000004</v>
      </c>
      <c r="J176" s="177">
        <f ca="1">SUM(J177:J182)</f>
        <v>4506.332637999998</v>
      </c>
      <c r="K176" s="179"/>
      <c r="N176" s="181"/>
    </row>
    <row r="177" spans="1:14" s="151" customFormat="1" ht="30" x14ac:dyDescent="0.25">
      <c r="A177" s="141" t="s">
        <v>1065</v>
      </c>
      <c r="B177" s="69" t="s">
        <v>437</v>
      </c>
      <c r="C177" s="69" t="s">
        <v>6</v>
      </c>
      <c r="D177" s="33" t="s">
        <v>669</v>
      </c>
      <c r="E177" s="69" t="s">
        <v>143</v>
      </c>
      <c r="F177" s="70">
        <f>3*3</f>
        <v>9</v>
      </c>
      <c r="G177" s="71">
        <v>49.01</v>
      </c>
      <c r="H177" s="73">
        <f t="shared" ref="H177" si="97">G177*(1+$J$2)</f>
        <v>60.022546999999996</v>
      </c>
      <c r="I177" s="77">
        <f>G177*F177</f>
        <v>441.09</v>
      </c>
      <c r="J177" s="142">
        <f t="shared" ref="J177" si="98">H177*F177</f>
        <v>540.20292299999994</v>
      </c>
      <c r="K177" s="149"/>
    </row>
    <row r="178" spans="1:14" s="151" customFormat="1" ht="30" x14ac:dyDescent="0.25">
      <c r="A178" s="141" t="s">
        <v>1066</v>
      </c>
      <c r="B178" s="69">
        <v>92988</v>
      </c>
      <c r="C178" s="69" t="s">
        <v>17</v>
      </c>
      <c r="D178" s="33" t="s">
        <v>895</v>
      </c>
      <c r="E178" s="69" t="s">
        <v>143</v>
      </c>
      <c r="F178" s="70">
        <f>36+12</f>
        <v>48</v>
      </c>
      <c r="G178" s="71">
        <v>55.06</v>
      </c>
      <c r="H178" s="73">
        <f t="shared" ref="H178:H182" si="99">G178*(1+$J$2)</f>
        <v>67.431981999999991</v>
      </c>
      <c r="I178" s="77">
        <f t="shared" ref="I178:I182" si="100">G178*F178</f>
        <v>2642.88</v>
      </c>
      <c r="J178" s="142">
        <f t="shared" ref="J178:J182" si="101">H178*F178</f>
        <v>3236.7351359999993</v>
      </c>
      <c r="K178" s="149"/>
    </row>
    <row r="179" spans="1:14" s="151" customFormat="1" ht="30" x14ac:dyDescent="0.25">
      <c r="A179" s="141" t="s">
        <v>1067</v>
      </c>
      <c r="B179" s="69">
        <v>91934</v>
      </c>
      <c r="C179" s="69" t="s">
        <v>17</v>
      </c>
      <c r="D179" s="33" t="s">
        <v>896</v>
      </c>
      <c r="E179" s="69" t="s">
        <v>143</v>
      </c>
      <c r="F179" s="70">
        <v>12</v>
      </c>
      <c r="G179" s="71">
        <v>27.44</v>
      </c>
      <c r="H179" s="73">
        <f t="shared" si="99"/>
        <v>33.605767999999998</v>
      </c>
      <c r="I179" s="77">
        <f t="shared" si="100"/>
        <v>329.28000000000003</v>
      </c>
      <c r="J179" s="142">
        <f t="shared" si="101"/>
        <v>403.26921599999997</v>
      </c>
      <c r="K179" s="149"/>
    </row>
    <row r="180" spans="1:14" s="151" customFormat="1" ht="30" x14ac:dyDescent="0.25">
      <c r="A180" s="141" t="s">
        <v>1068</v>
      </c>
      <c r="B180" s="69" t="s">
        <v>898</v>
      </c>
      <c r="C180" s="69" t="s">
        <v>6</v>
      </c>
      <c r="D180" s="33" t="s">
        <v>897</v>
      </c>
      <c r="E180" s="69" t="s">
        <v>144</v>
      </c>
      <c r="F180" s="70">
        <v>2</v>
      </c>
      <c r="G180" s="71">
        <v>74.55</v>
      </c>
      <c r="H180" s="73">
        <f t="shared" si="99"/>
        <v>91.301384999999982</v>
      </c>
      <c r="I180" s="77">
        <f t="shared" si="100"/>
        <v>149.1</v>
      </c>
      <c r="J180" s="142">
        <f t="shared" si="101"/>
        <v>182.60276999999996</v>
      </c>
      <c r="K180" s="149"/>
    </row>
    <row r="181" spans="1:14" s="151" customFormat="1" x14ac:dyDescent="0.25">
      <c r="A181" s="141" t="s">
        <v>1069</v>
      </c>
      <c r="B181" s="69" t="s">
        <v>969</v>
      </c>
      <c r="C181" s="69" t="s">
        <v>156</v>
      </c>
      <c r="D181" s="33" t="s">
        <v>945</v>
      </c>
      <c r="E181" s="69" t="s">
        <v>144</v>
      </c>
      <c r="F181" s="70">
        <v>4</v>
      </c>
      <c r="G181" s="71">
        <f ca="1">CPU!$H$91</f>
        <v>16.877499999999998</v>
      </c>
      <c r="H181" s="73">
        <f t="shared" ca="1" si="99"/>
        <v>20.669874249999996</v>
      </c>
      <c r="I181" s="77">
        <f t="shared" ca="1" si="100"/>
        <v>67.509999999999991</v>
      </c>
      <c r="J181" s="142">
        <f t="shared" ca="1" si="101"/>
        <v>82.679496999999984</v>
      </c>
      <c r="K181" s="149"/>
    </row>
    <row r="182" spans="1:14" s="151" customFormat="1" x14ac:dyDescent="0.25">
      <c r="A182" s="141" t="s">
        <v>1070</v>
      </c>
      <c r="B182" s="69">
        <v>9427</v>
      </c>
      <c r="C182" s="69" t="s">
        <v>140</v>
      </c>
      <c r="D182" s="33" t="s">
        <v>949</v>
      </c>
      <c r="E182" s="69" t="s">
        <v>144</v>
      </c>
      <c r="F182" s="70">
        <v>9</v>
      </c>
      <c r="G182" s="71">
        <v>5.52</v>
      </c>
      <c r="H182" s="73">
        <f t="shared" si="99"/>
        <v>6.760343999999999</v>
      </c>
      <c r="I182" s="77">
        <f t="shared" si="100"/>
        <v>49.679999999999993</v>
      </c>
      <c r="J182" s="142">
        <f t="shared" si="101"/>
        <v>60.843095999999989</v>
      </c>
      <c r="K182" s="149"/>
    </row>
    <row r="183" spans="1:14" s="151" customFormat="1" x14ac:dyDescent="0.25">
      <c r="A183" s="168"/>
      <c r="B183" s="169"/>
      <c r="C183" s="169"/>
      <c r="D183" s="169"/>
      <c r="E183" s="169"/>
      <c r="F183" s="169"/>
      <c r="G183" s="169"/>
      <c r="H183" s="169"/>
      <c r="I183" s="169"/>
      <c r="J183" s="165"/>
      <c r="K183" s="149"/>
    </row>
    <row r="184" spans="1:14" s="3" customFormat="1" x14ac:dyDescent="0.25">
      <c r="A184" s="140">
        <v>9</v>
      </c>
      <c r="B184" s="5"/>
      <c r="C184" s="5"/>
      <c r="D184" s="5" t="s">
        <v>161</v>
      </c>
      <c r="E184" s="5"/>
      <c r="F184" s="6"/>
      <c r="G184" s="7"/>
      <c r="H184" s="7"/>
      <c r="I184" s="4">
        <f ca="1">SUM(I185,I187,I205,I209,I211,I227)</f>
        <v>111480.16733333333</v>
      </c>
      <c r="J184" s="4">
        <f ca="1">SUM(J185,J187,J205,J209,J211,J227)</f>
        <v>136529.76093313331</v>
      </c>
      <c r="K184" s="90"/>
      <c r="N184" s="57"/>
    </row>
    <row r="185" spans="1:14" s="180" customFormat="1" x14ac:dyDescent="0.25">
      <c r="A185" s="173" t="s">
        <v>60</v>
      </c>
      <c r="B185" s="174"/>
      <c r="C185" s="174"/>
      <c r="D185" s="174" t="s">
        <v>421</v>
      </c>
      <c r="E185" s="174"/>
      <c r="F185" s="175"/>
      <c r="G185" s="176"/>
      <c r="H185" s="176"/>
      <c r="I185" s="177">
        <f>SUM(I186)</f>
        <v>255.68</v>
      </c>
      <c r="J185" s="177">
        <f>SUM(J186)</f>
        <v>313.13129600000002</v>
      </c>
      <c r="K185" s="179"/>
      <c r="N185" s="181"/>
    </row>
    <row r="186" spans="1:14" s="151" customFormat="1" ht="32.25" customHeight="1" x14ac:dyDescent="0.25">
      <c r="A186" s="141" t="s">
        <v>545</v>
      </c>
      <c r="B186" s="69">
        <v>90456</v>
      </c>
      <c r="C186" s="69" t="s">
        <v>17</v>
      </c>
      <c r="D186" s="33" t="s">
        <v>455</v>
      </c>
      <c r="E186" s="69" t="s">
        <v>144</v>
      </c>
      <c r="F186" s="70">
        <f>F215+F216</f>
        <v>47</v>
      </c>
      <c r="G186" s="71">
        <v>5.44</v>
      </c>
      <c r="H186" s="73">
        <f t="shared" ref="H186" si="102">G186*(1+$J$2)</f>
        <v>6.6623679999999998</v>
      </c>
      <c r="I186" s="77">
        <f>G186*F186</f>
        <v>255.68</v>
      </c>
      <c r="J186" s="142">
        <f t="shared" ref="J186" si="103">H186*F186</f>
        <v>313.13129600000002</v>
      </c>
      <c r="K186" s="149"/>
    </row>
    <row r="187" spans="1:14" s="180" customFormat="1" x14ac:dyDescent="0.25">
      <c r="A187" s="173" t="s">
        <v>61</v>
      </c>
      <c r="B187" s="174"/>
      <c r="C187" s="174"/>
      <c r="D187" s="174" t="s">
        <v>471</v>
      </c>
      <c r="E187" s="174"/>
      <c r="F187" s="175"/>
      <c r="G187" s="176"/>
      <c r="H187" s="176"/>
      <c r="I187" s="177">
        <f ca="1">SUM(I188:I204)</f>
        <v>26261.333333333339</v>
      </c>
      <c r="J187" s="177">
        <f ca="1">SUM(J188:J204)</f>
        <v>32162.25493333333</v>
      </c>
      <c r="K187" s="179"/>
      <c r="N187" s="181"/>
    </row>
    <row r="188" spans="1:14" s="151" customFormat="1" x14ac:dyDescent="0.25">
      <c r="A188" s="141" t="s">
        <v>546</v>
      </c>
      <c r="B188" s="69">
        <v>3252</v>
      </c>
      <c r="C188" s="69" t="s">
        <v>140</v>
      </c>
      <c r="D188" s="33" t="s">
        <v>435</v>
      </c>
      <c r="E188" s="69" t="s">
        <v>144</v>
      </c>
      <c r="F188" s="70">
        <v>2000</v>
      </c>
      <c r="G188" s="71">
        <v>0.92</v>
      </c>
      <c r="H188" s="73">
        <f t="shared" ref="H188" si="104">G188*(1+$J$2)</f>
        <v>1.1267240000000001</v>
      </c>
      <c r="I188" s="77">
        <f>G188*F188</f>
        <v>1840</v>
      </c>
      <c r="J188" s="142">
        <f t="shared" ref="J188" si="105">H188*F188</f>
        <v>2253.4480000000003</v>
      </c>
      <c r="K188" s="149"/>
    </row>
    <row r="189" spans="1:14" s="151" customFormat="1" x14ac:dyDescent="0.25">
      <c r="A189" s="141" t="s">
        <v>547</v>
      </c>
      <c r="B189" s="78" t="str">
        <f>'COT.'!$A$290</f>
        <v>COT-49</v>
      </c>
      <c r="C189" s="69" t="s">
        <v>106</v>
      </c>
      <c r="D189" s="33" t="str">
        <f>'COT.'!$B$290</f>
        <v>ETIQUETAS DE IDENTIFICAÇÃO AUTO-ADESIVAS (PACOTE COM 280 UN.)</v>
      </c>
      <c r="E189" s="69" t="s">
        <v>144</v>
      </c>
      <c r="F189" s="70">
        <v>1</v>
      </c>
      <c r="G189" s="71">
        <f ca="1">'COT.'!$E$290</f>
        <v>5.8</v>
      </c>
      <c r="H189" s="73">
        <f t="shared" ref="H189:H204" ca="1" si="106">G189*(1+$J$2)</f>
        <v>7.1032599999999988</v>
      </c>
      <c r="I189" s="77">
        <f t="shared" ref="I189:I204" ca="1" si="107">G189*F189</f>
        <v>5.8</v>
      </c>
      <c r="J189" s="142">
        <f t="shared" ref="J189:J204" ca="1" si="108">H189*F189</f>
        <v>7.1032599999999988</v>
      </c>
      <c r="K189" s="149"/>
    </row>
    <row r="190" spans="1:14" s="151" customFormat="1" x14ac:dyDescent="0.25">
      <c r="A190" s="141" t="s">
        <v>548</v>
      </c>
      <c r="B190" s="69">
        <v>98305</v>
      </c>
      <c r="C190" s="69" t="s">
        <v>17</v>
      </c>
      <c r="D190" s="33" t="s">
        <v>735</v>
      </c>
      <c r="E190" s="69" t="s">
        <v>144</v>
      </c>
      <c r="F190" s="70">
        <v>1</v>
      </c>
      <c r="G190" s="71">
        <v>2827.8</v>
      </c>
      <c r="H190" s="73">
        <f t="shared" si="106"/>
        <v>3463.2066599999998</v>
      </c>
      <c r="I190" s="77">
        <f t="shared" si="107"/>
        <v>2827.8</v>
      </c>
      <c r="J190" s="142">
        <f t="shared" si="108"/>
        <v>3463.2066599999998</v>
      </c>
      <c r="K190" s="149"/>
    </row>
    <row r="191" spans="1:14" s="151" customFormat="1" x14ac:dyDescent="0.25">
      <c r="A191" s="141" t="s">
        <v>741</v>
      </c>
      <c r="B191" s="69" t="s">
        <v>737</v>
      </c>
      <c r="C191" s="69" t="s">
        <v>6</v>
      </c>
      <c r="D191" s="33" t="s">
        <v>736</v>
      </c>
      <c r="E191" s="69" t="s">
        <v>445</v>
      </c>
      <c r="F191" s="70">
        <f>3*2</f>
        <v>6</v>
      </c>
      <c r="G191" s="71">
        <v>1116.1600000000001</v>
      </c>
      <c r="H191" s="73">
        <f t="shared" si="106"/>
        <v>1366.9611520000001</v>
      </c>
      <c r="I191" s="77">
        <f t="shared" si="107"/>
        <v>6696.9600000000009</v>
      </c>
      <c r="J191" s="142">
        <f t="shared" si="108"/>
        <v>8201.766912000001</v>
      </c>
      <c r="K191" s="149"/>
    </row>
    <row r="192" spans="1:14" s="151" customFormat="1" x14ac:dyDescent="0.25">
      <c r="A192" s="141" t="s">
        <v>742</v>
      </c>
      <c r="B192" s="69">
        <v>10727</v>
      </c>
      <c r="C192" s="69" t="s">
        <v>140</v>
      </c>
      <c r="D192" s="33" t="s">
        <v>738</v>
      </c>
      <c r="E192" s="69" t="s">
        <v>144</v>
      </c>
      <c r="F192" s="70">
        <f>2*2</f>
        <v>4</v>
      </c>
      <c r="G192" s="71">
        <v>287.58</v>
      </c>
      <c r="H192" s="73">
        <f t="shared" si="106"/>
        <v>352.19922599999995</v>
      </c>
      <c r="I192" s="77">
        <f t="shared" si="107"/>
        <v>1150.32</v>
      </c>
      <c r="J192" s="142">
        <f t="shared" si="108"/>
        <v>1408.7969039999998</v>
      </c>
      <c r="K192" s="149"/>
    </row>
    <row r="193" spans="1:14" s="151" customFormat="1" x14ac:dyDescent="0.25">
      <c r="A193" s="141" t="s">
        <v>743</v>
      </c>
      <c r="B193" s="69">
        <v>10726</v>
      </c>
      <c r="C193" s="69" t="s">
        <v>140</v>
      </c>
      <c r="D193" s="33" t="s">
        <v>739</v>
      </c>
      <c r="E193" s="69" t="s">
        <v>144</v>
      </c>
      <c r="F193" s="70">
        <v>3</v>
      </c>
      <c r="G193" s="71">
        <v>1290.75</v>
      </c>
      <c r="H193" s="73">
        <f t="shared" si="106"/>
        <v>1580.7815249999999</v>
      </c>
      <c r="I193" s="77">
        <f t="shared" si="107"/>
        <v>3872.25</v>
      </c>
      <c r="J193" s="142">
        <f t="shared" si="108"/>
        <v>4742.3445749999992</v>
      </c>
      <c r="K193" s="149"/>
    </row>
    <row r="194" spans="1:14" s="151" customFormat="1" ht="30" x14ac:dyDescent="0.25">
      <c r="A194" s="141" t="s">
        <v>744</v>
      </c>
      <c r="B194" s="69" t="s">
        <v>835</v>
      </c>
      <c r="C194" s="69" t="s">
        <v>106</v>
      </c>
      <c r="D194" s="33" t="s">
        <v>740</v>
      </c>
      <c r="E194" s="69" t="s">
        <v>144</v>
      </c>
      <c r="F194" s="70">
        <v>140</v>
      </c>
      <c r="G194" s="71">
        <f ca="1">CPU!$H$146</f>
        <v>3.3191666666666668</v>
      </c>
      <c r="H194" s="73">
        <f t="shared" ca="1" si="106"/>
        <v>4.0649834166666663</v>
      </c>
      <c r="I194" s="77">
        <f t="shared" ca="1" si="107"/>
        <v>464.68333333333334</v>
      </c>
      <c r="J194" s="142">
        <f t="shared" ca="1" si="108"/>
        <v>569.09767833333331</v>
      </c>
      <c r="K194" s="149"/>
    </row>
    <row r="195" spans="1:14" s="151" customFormat="1" x14ac:dyDescent="0.25">
      <c r="A195" s="141" t="s">
        <v>745</v>
      </c>
      <c r="B195" s="69" t="s">
        <v>732</v>
      </c>
      <c r="C195" s="69" t="s">
        <v>6</v>
      </c>
      <c r="D195" s="33" t="s">
        <v>731</v>
      </c>
      <c r="E195" s="69" t="s">
        <v>144</v>
      </c>
      <c r="F195" s="70">
        <v>14</v>
      </c>
      <c r="G195" s="71">
        <v>110.57</v>
      </c>
      <c r="H195" s="73">
        <f t="shared" si="106"/>
        <v>135.41507899999999</v>
      </c>
      <c r="I195" s="77">
        <f t="shared" si="107"/>
        <v>1547.98</v>
      </c>
      <c r="J195" s="142">
        <f t="shared" si="108"/>
        <v>1895.8111059999999</v>
      </c>
      <c r="K195" s="149"/>
    </row>
    <row r="196" spans="1:14" s="151" customFormat="1" x14ac:dyDescent="0.25">
      <c r="A196" s="141" t="s">
        <v>746</v>
      </c>
      <c r="B196" s="69" t="s">
        <v>729</v>
      </c>
      <c r="C196" s="69" t="s">
        <v>6</v>
      </c>
      <c r="D196" s="33" t="s">
        <v>730</v>
      </c>
      <c r="E196" s="69" t="s">
        <v>445</v>
      </c>
      <c r="F196" s="70">
        <v>3</v>
      </c>
      <c r="G196" s="71">
        <v>14.4</v>
      </c>
      <c r="H196" s="73">
        <f t="shared" si="106"/>
        <v>17.635680000000001</v>
      </c>
      <c r="I196" s="77">
        <f t="shared" si="107"/>
        <v>43.2</v>
      </c>
      <c r="J196" s="142">
        <f t="shared" si="108"/>
        <v>52.907040000000002</v>
      </c>
      <c r="K196" s="149"/>
    </row>
    <row r="197" spans="1:14" s="151" customFormat="1" x14ac:dyDescent="0.25">
      <c r="A197" s="141" t="s">
        <v>747</v>
      </c>
      <c r="B197" s="69" t="s">
        <v>734</v>
      </c>
      <c r="C197" s="69" t="s">
        <v>6</v>
      </c>
      <c r="D197" s="33" t="s">
        <v>733</v>
      </c>
      <c r="E197" s="69" t="s">
        <v>144</v>
      </c>
      <c r="F197" s="70">
        <v>1</v>
      </c>
      <c r="G197" s="71">
        <v>88.54</v>
      </c>
      <c r="H197" s="73">
        <f t="shared" si="106"/>
        <v>108.434938</v>
      </c>
      <c r="I197" s="77">
        <f t="shared" si="107"/>
        <v>88.54</v>
      </c>
      <c r="J197" s="142">
        <f t="shared" si="108"/>
        <v>108.434938</v>
      </c>
      <c r="K197" s="149"/>
    </row>
    <row r="198" spans="1:14" s="151" customFormat="1" x14ac:dyDescent="0.25">
      <c r="A198" s="141" t="s">
        <v>748</v>
      </c>
      <c r="B198" s="69" t="s">
        <v>470</v>
      </c>
      <c r="C198" s="69" t="s">
        <v>6</v>
      </c>
      <c r="D198" s="33" t="s">
        <v>469</v>
      </c>
      <c r="E198" s="69" t="s">
        <v>143</v>
      </c>
      <c r="F198" s="70">
        <v>120</v>
      </c>
      <c r="G198" s="71">
        <v>8.8699999999999992</v>
      </c>
      <c r="H198" s="73">
        <f t="shared" si="106"/>
        <v>10.863088999999999</v>
      </c>
      <c r="I198" s="77">
        <f t="shared" si="107"/>
        <v>1064.3999999999999</v>
      </c>
      <c r="J198" s="142">
        <f t="shared" si="108"/>
        <v>1303.5706799999998</v>
      </c>
      <c r="K198" s="149"/>
    </row>
    <row r="199" spans="1:14" s="151" customFormat="1" x14ac:dyDescent="0.25">
      <c r="A199" s="141" t="s">
        <v>749</v>
      </c>
      <c r="B199" s="69">
        <v>11230</v>
      </c>
      <c r="C199" s="69" t="s">
        <v>140</v>
      </c>
      <c r="D199" s="33" t="s">
        <v>728</v>
      </c>
      <c r="E199" s="69" t="s">
        <v>144</v>
      </c>
      <c r="F199" s="70">
        <v>8</v>
      </c>
      <c r="G199" s="71">
        <v>28.12</v>
      </c>
      <c r="H199" s="73">
        <f t="shared" si="106"/>
        <v>34.438564</v>
      </c>
      <c r="I199" s="77">
        <f t="shared" si="107"/>
        <v>224.96</v>
      </c>
      <c r="J199" s="142">
        <f t="shared" si="108"/>
        <v>275.508512</v>
      </c>
      <c r="K199" s="149"/>
    </row>
    <row r="200" spans="1:14" s="151" customFormat="1" ht="30" x14ac:dyDescent="0.25">
      <c r="A200" s="141" t="s">
        <v>750</v>
      </c>
      <c r="B200" s="69">
        <v>98270</v>
      </c>
      <c r="C200" s="69" t="s">
        <v>17</v>
      </c>
      <c r="D200" s="33" t="s">
        <v>929</v>
      </c>
      <c r="E200" s="69" t="s">
        <v>143</v>
      </c>
      <c r="F200" s="70">
        <v>30</v>
      </c>
      <c r="G200" s="71">
        <v>29.98</v>
      </c>
      <c r="H200" s="73">
        <f t="shared" si="106"/>
        <v>36.716505999999995</v>
      </c>
      <c r="I200" s="77">
        <f t="shared" si="107"/>
        <v>899.4</v>
      </c>
      <c r="J200" s="142">
        <f t="shared" si="108"/>
        <v>1101.4951799999999</v>
      </c>
      <c r="K200" s="149"/>
    </row>
    <row r="201" spans="1:14" s="151" customFormat="1" ht="30" x14ac:dyDescent="0.25">
      <c r="A201" s="141" t="s">
        <v>783</v>
      </c>
      <c r="B201" s="69">
        <v>98270</v>
      </c>
      <c r="C201" s="69" t="s">
        <v>17</v>
      </c>
      <c r="D201" s="33" t="s">
        <v>929</v>
      </c>
      <c r="E201" s="69" t="s">
        <v>143</v>
      </c>
      <c r="F201" s="70">
        <v>30</v>
      </c>
      <c r="G201" s="71">
        <v>29.98</v>
      </c>
      <c r="H201" s="73">
        <f t="shared" si="106"/>
        <v>36.716505999999995</v>
      </c>
      <c r="I201" s="77">
        <f t="shared" si="107"/>
        <v>899.4</v>
      </c>
      <c r="J201" s="142">
        <f t="shared" si="108"/>
        <v>1101.4951799999999</v>
      </c>
      <c r="K201" s="149"/>
    </row>
    <row r="202" spans="1:14" s="151" customFormat="1" ht="30" x14ac:dyDescent="0.25">
      <c r="A202" s="141" t="s">
        <v>892</v>
      </c>
      <c r="B202" s="69" t="s">
        <v>724</v>
      </c>
      <c r="C202" s="69" t="s">
        <v>6</v>
      </c>
      <c r="D202" s="33" t="s">
        <v>930</v>
      </c>
      <c r="E202" s="69" t="s">
        <v>144</v>
      </c>
      <c r="F202" s="70">
        <v>8</v>
      </c>
      <c r="G202" s="71">
        <v>37.76</v>
      </c>
      <c r="H202" s="73">
        <f t="shared" si="106"/>
        <v>46.244671999999994</v>
      </c>
      <c r="I202" s="77">
        <f t="shared" si="107"/>
        <v>302.08</v>
      </c>
      <c r="J202" s="142">
        <f t="shared" si="108"/>
        <v>369.95737599999995</v>
      </c>
      <c r="K202" s="149"/>
    </row>
    <row r="203" spans="1:14" s="151" customFormat="1" x14ac:dyDescent="0.25">
      <c r="A203" s="141" t="s">
        <v>893</v>
      </c>
      <c r="B203" s="69" t="s">
        <v>836</v>
      </c>
      <c r="C203" s="69" t="s">
        <v>106</v>
      </c>
      <c r="D203" s="33" t="s">
        <v>931</v>
      </c>
      <c r="E203" s="69" t="s">
        <v>144</v>
      </c>
      <c r="F203" s="70">
        <v>2</v>
      </c>
      <c r="G203" s="71">
        <f ca="1">CPU!H150</f>
        <v>516.54</v>
      </c>
      <c r="H203" s="73">
        <f t="shared" ca="1" si="106"/>
        <v>632.60653799999989</v>
      </c>
      <c r="I203" s="77">
        <f t="shared" ca="1" si="107"/>
        <v>1033.08</v>
      </c>
      <c r="J203" s="142">
        <f t="shared" ca="1" si="108"/>
        <v>1265.2130759999998</v>
      </c>
      <c r="K203" s="149"/>
    </row>
    <row r="204" spans="1:14" s="151" customFormat="1" x14ac:dyDescent="0.25">
      <c r="A204" s="141" t="s">
        <v>1071</v>
      </c>
      <c r="B204" s="69" t="s">
        <v>837</v>
      </c>
      <c r="C204" s="69" t="s">
        <v>106</v>
      </c>
      <c r="D204" s="33" t="s">
        <v>784</v>
      </c>
      <c r="E204" s="69" t="s">
        <v>144</v>
      </c>
      <c r="F204" s="70">
        <v>1</v>
      </c>
      <c r="G204" s="71">
        <f>CPU!H155</f>
        <v>3300.48</v>
      </c>
      <c r="H204" s="73">
        <f t="shared" si="106"/>
        <v>4042.0978559999999</v>
      </c>
      <c r="I204" s="77">
        <f t="shared" si="107"/>
        <v>3300.48</v>
      </c>
      <c r="J204" s="142">
        <f t="shared" si="108"/>
        <v>4042.0978559999999</v>
      </c>
      <c r="K204" s="149"/>
    </row>
    <row r="205" spans="1:14" s="180" customFormat="1" x14ac:dyDescent="0.25">
      <c r="A205" s="173" t="s">
        <v>62</v>
      </c>
      <c r="B205" s="174"/>
      <c r="C205" s="174"/>
      <c r="D205" s="174" t="s">
        <v>468</v>
      </c>
      <c r="E205" s="174"/>
      <c r="F205" s="175"/>
      <c r="G205" s="176"/>
      <c r="H205" s="176"/>
      <c r="I205" s="177">
        <f>SUM(I206:I208)</f>
        <v>49682.31</v>
      </c>
      <c r="J205" s="177">
        <f>SUM(J206:J208)</f>
        <v>60845.925056999986</v>
      </c>
      <c r="K205" s="179"/>
      <c r="N205" s="181"/>
    </row>
    <row r="206" spans="1:14" s="151" customFormat="1" x14ac:dyDescent="0.25">
      <c r="A206" s="141" t="s">
        <v>549</v>
      </c>
      <c r="B206" s="69" t="s">
        <v>470</v>
      </c>
      <c r="C206" s="69" t="s">
        <v>6</v>
      </c>
      <c r="D206" s="33" t="s">
        <v>469</v>
      </c>
      <c r="E206" s="69" t="s">
        <v>143</v>
      </c>
      <c r="F206" s="70">
        <v>4985</v>
      </c>
      <c r="G206" s="71">
        <v>8.8699999999999992</v>
      </c>
      <c r="H206" s="73">
        <f t="shared" ref="H206" si="109">G206*(1+$J$2)</f>
        <v>10.863088999999999</v>
      </c>
      <c r="I206" s="77">
        <f>G206*F206</f>
        <v>44216.95</v>
      </c>
      <c r="J206" s="142">
        <f t="shared" ref="J206" si="110">H206*F206</f>
        <v>54152.498664999992</v>
      </c>
      <c r="K206" s="149"/>
    </row>
    <row r="207" spans="1:14" s="151" customFormat="1" x14ac:dyDescent="0.25">
      <c r="A207" s="141" t="s">
        <v>702</v>
      </c>
      <c r="B207" s="69">
        <v>10268</v>
      </c>
      <c r="C207" s="69" t="s">
        <v>140</v>
      </c>
      <c r="D207" s="33" t="s">
        <v>687</v>
      </c>
      <c r="E207" s="69" t="s">
        <v>144</v>
      </c>
      <c r="F207" s="70">
        <v>61</v>
      </c>
      <c r="G207" s="71">
        <v>35.200000000000003</v>
      </c>
      <c r="H207" s="73">
        <f t="shared" ref="H207:H208" si="111">G207*(1+$J$2)</f>
        <v>43.109439999999999</v>
      </c>
      <c r="I207" s="77">
        <f t="shared" ref="I207:I208" si="112">G207*F207</f>
        <v>2147.2000000000003</v>
      </c>
      <c r="J207" s="142">
        <f t="shared" ref="J207:J208" si="113">H207*F207</f>
        <v>2629.6758399999999</v>
      </c>
      <c r="K207" s="149"/>
    </row>
    <row r="208" spans="1:14" s="151" customFormat="1" x14ac:dyDescent="0.25">
      <c r="A208" s="141" t="s">
        <v>1072</v>
      </c>
      <c r="B208" s="69">
        <v>11230</v>
      </c>
      <c r="C208" s="69" t="s">
        <v>140</v>
      </c>
      <c r="D208" s="33" t="s">
        <v>728</v>
      </c>
      <c r="E208" s="69" t="s">
        <v>144</v>
      </c>
      <c r="F208" s="70">
        <f>61+57</f>
        <v>118</v>
      </c>
      <c r="G208" s="71">
        <v>28.12</v>
      </c>
      <c r="H208" s="73">
        <f t="shared" si="111"/>
        <v>34.438564</v>
      </c>
      <c r="I208" s="77">
        <f t="shared" si="112"/>
        <v>3318.1600000000003</v>
      </c>
      <c r="J208" s="142">
        <f t="shared" si="113"/>
        <v>4063.750552</v>
      </c>
      <c r="K208" s="149"/>
    </row>
    <row r="209" spans="1:14" s="180" customFormat="1" x14ac:dyDescent="0.25">
      <c r="A209" s="173" t="s">
        <v>63</v>
      </c>
      <c r="B209" s="174"/>
      <c r="C209" s="174"/>
      <c r="D209" s="174" t="s">
        <v>465</v>
      </c>
      <c r="E209" s="174"/>
      <c r="F209" s="175"/>
      <c r="G209" s="176"/>
      <c r="H209" s="176"/>
      <c r="I209" s="177">
        <f>SUM(I210)</f>
        <v>1854.96</v>
      </c>
      <c r="J209" s="178">
        <f>SUM(J210)</f>
        <v>2271.7695119999998</v>
      </c>
      <c r="K209" s="179"/>
      <c r="N209" s="181"/>
    </row>
    <row r="210" spans="1:14" s="151" customFormat="1" x14ac:dyDescent="0.25">
      <c r="A210" s="141" t="s">
        <v>550</v>
      </c>
      <c r="B210" s="69" t="s">
        <v>467</v>
      </c>
      <c r="C210" s="69" t="s">
        <v>6</v>
      </c>
      <c r="D210" s="33" t="s">
        <v>466</v>
      </c>
      <c r="E210" s="69" t="s">
        <v>144</v>
      </c>
      <c r="F210" s="70">
        <v>118</v>
      </c>
      <c r="G210" s="71">
        <v>15.72</v>
      </c>
      <c r="H210" s="73">
        <f t="shared" ref="H210" si="114">G210*(1+$J$2)</f>
        <v>19.252284</v>
      </c>
      <c r="I210" s="77">
        <f>G210*F210</f>
        <v>1854.96</v>
      </c>
      <c r="J210" s="142">
        <f t="shared" ref="J210" si="115">H210*F210</f>
        <v>2271.7695119999998</v>
      </c>
      <c r="K210" s="149"/>
    </row>
    <row r="211" spans="1:14" s="180" customFormat="1" x14ac:dyDescent="0.25">
      <c r="A211" s="173" t="s">
        <v>64</v>
      </c>
      <c r="B211" s="174"/>
      <c r="C211" s="174"/>
      <c r="D211" s="174" t="s">
        <v>436</v>
      </c>
      <c r="E211" s="174"/>
      <c r="F211" s="175"/>
      <c r="G211" s="176"/>
      <c r="H211" s="176"/>
      <c r="I211" s="177">
        <f>SUM(I212:I226)</f>
        <v>23073.653999999999</v>
      </c>
      <c r="J211" s="177">
        <f>SUM(J212:J226)</f>
        <v>28258.304053799995</v>
      </c>
      <c r="K211" s="179"/>
      <c r="N211" s="181"/>
    </row>
    <row r="212" spans="1:14" s="151" customFormat="1" ht="30" x14ac:dyDescent="0.25">
      <c r="A212" s="141" t="s">
        <v>551</v>
      </c>
      <c r="B212" s="69" t="s">
        <v>439</v>
      </c>
      <c r="C212" s="69" t="s">
        <v>6</v>
      </c>
      <c r="D212" s="33" t="s">
        <v>438</v>
      </c>
      <c r="E212" s="69" t="s">
        <v>143</v>
      </c>
      <c r="F212" s="70">
        <f>46*3</f>
        <v>138</v>
      </c>
      <c r="G212" s="71">
        <v>29.15</v>
      </c>
      <c r="H212" s="73">
        <f t="shared" ref="H212" si="116">G212*(1+$J$2)</f>
        <v>35.700004999999997</v>
      </c>
      <c r="I212" s="77">
        <f>G212*F212</f>
        <v>4022.7</v>
      </c>
      <c r="J212" s="142">
        <f t="shared" ref="J212" si="117">H212*F212</f>
        <v>4926.6006899999993</v>
      </c>
      <c r="K212" s="149"/>
    </row>
    <row r="213" spans="1:14" s="151" customFormat="1" ht="30" x14ac:dyDescent="0.25">
      <c r="A213" s="141" t="s">
        <v>552</v>
      </c>
      <c r="B213" s="69" t="s">
        <v>672</v>
      </c>
      <c r="C213" s="69" t="s">
        <v>6</v>
      </c>
      <c r="D213" s="33" t="s">
        <v>671</v>
      </c>
      <c r="E213" s="69" t="s">
        <v>143</v>
      </c>
      <c r="F213" s="70">
        <f>36*3</f>
        <v>108</v>
      </c>
      <c r="G213" s="71">
        <v>23.4</v>
      </c>
      <c r="H213" s="73">
        <f t="shared" ref="H213:H226" si="118">G213*(1+$J$2)</f>
        <v>28.657979999999995</v>
      </c>
      <c r="I213" s="77">
        <f t="shared" ref="I213:I226" si="119">G213*F213</f>
        <v>2527.1999999999998</v>
      </c>
      <c r="J213" s="142">
        <f t="shared" ref="J213:J226" si="120">H213*F213</f>
        <v>3095.0618399999994</v>
      </c>
      <c r="K213" s="149"/>
    </row>
    <row r="214" spans="1:14" s="151" customFormat="1" x14ac:dyDescent="0.25">
      <c r="A214" s="141" t="s">
        <v>553</v>
      </c>
      <c r="B214" s="69" t="s">
        <v>838</v>
      </c>
      <c r="C214" s="69" t="s">
        <v>106</v>
      </c>
      <c r="D214" s="33" t="s">
        <v>464</v>
      </c>
      <c r="E214" s="69" t="s">
        <v>144</v>
      </c>
      <c r="F214" s="70">
        <v>138</v>
      </c>
      <c r="G214" s="71">
        <f>CPU!$H$159</f>
        <v>6.3570000000000002</v>
      </c>
      <c r="H214" s="73">
        <f t="shared" si="118"/>
        <v>7.7854178999999997</v>
      </c>
      <c r="I214" s="77">
        <f t="shared" si="119"/>
        <v>877.26600000000008</v>
      </c>
      <c r="J214" s="142">
        <f t="shared" si="120"/>
        <v>1074.3876702</v>
      </c>
      <c r="K214" s="149"/>
    </row>
    <row r="215" spans="1:14" s="151" customFormat="1" ht="30" x14ac:dyDescent="0.25">
      <c r="A215" s="141" t="s">
        <v>554</v>
      </c>
      <c r="B215" s="69">
        <v>91940</v>
      </c>
      <c r="C215" s="69" t="s">
        <v>17</v>
      </c>
      <c r="D215" s="33" t="s">
        <v>152</v>
      </c>
      <c r="E215" s="69" t="s">
        <v>144</v>
      </c>
      <c r="F215" s="70">
        <v>33</v>
      </c>
      <c r="G215" s="71">
        <v>18.13</v>
      </c>
      <c r="H215" s="73">
        <f t="shared" si="118"/>
        <v>22.203810999999998</v>
      </c>
      <c r="I215" s="77">
        <f t="shared" si="119"/>
        <v>598.29</v>
      </c>
      <c r="J215" s="142">
        <f t="shared" si="120"/>
        <v>732.72576299999992</v>
      </c>
      <c r="K215" s="149"/>
    </row>
    <row r="216" spans="1:14" s="151" customFormat="1" ht="30" x14ac:dyDescent="0.25">
      <c r="A216" s="141" t="s">
        <v>703</v>
      </c>
      <c r="B216" s="69">
        <v>91943</v>
      </c>
      <c r="C216" s="69" t="s">
        <v>17</v>
      </c>
      <c r="D216" s="33" t="s">
        <v>720</v>
      </c>
      <c r="E216" s="69" t="s">
        <v>144</v>
      </c>
      <c r="F216" s="70">
        <v>14</v>
      </c>
      <c r="G216" s="71">
        <v>21.34</v>
      </c>
      <c r="H216" s="73">
        <f t="shared" si="118"/>
        <v>26.135097999999999</v>
      </c>
      <c r="I216" s="77">
        <f t="shared" si="119"/>
        <v>298.76</v>
      </c>
      <c r="J216" s="142">
        <f t="shared" si="120"/>
        <v>365.89137199999999</v>
      </c>
      <c r="K216" s="149"/>
    </row>
    <row r="217" spans="1:14" s="151" customFormat="1" ht="50.25" customHeight="1" x14ac:dyDescent="0.25">
      <c r="A217" s="141" t="s">
        <v>704</v>
      </c>
      <c r="B217" s="69" t="s">
        <v>674</v>
      </c>
      <c r="C217" s="69" t="s">
        <v>6</v>
      </c>
      <c r="D217" s="33" t="s">
        <v>673</v>
      </c>
      <c r="E217" s="69" t="s">
        <v>144</v>
      </c>
      <c r="F217" s="70">
        <v>29</v>
      </c>
      <c r="G217" s="71">
        <v>86.27</v>
      </c>
      <c r="H217" s="73">
        <f t="shared" si="118"/>
        <v>105.65486899999999</v>
      </c>
      <c r="I217" s="77">
        <f t="shared" si="119"/>
        <v>2501.83</v>
      </c>
      <c r="J217" s="142">
        <f t="shared" si="120"/>
        <v>3063.9912009999998</v>
      </c>
      <c r="K217" s="149"/>
    </row>
    <row r="218" spans="1:14" s="151" customFormat="1" ht="30" x14ac:dyDescent="0.25">
      <c r="A218" s="141" t="s">
        <v>705</v>
      </c>
      <c r="B218" s="69" t="s">
        <v>676</v>
      </c>
      <c r="C218" s="69" t="s">
        <v>6</v>
      </c>
      <c r="D218" s="33" t="s">
        <v>675</v>
      </c>
      <c r="E218" s="69" t="s">
        <v>144</v>
      </c>
      <c r="F218" s="70">
        <v>4</v>
      </c>
      <c r="G218" s="71">
        <v>49.82</v>
      </c>
      <c r="H218" s="73">
        <f t="shared" si="118"/>
        <v>61.014553999999997</v>
      </c>
      <c r="I218" s="77">
        <f t="shared" si="119"/>
        <v>199.28</v>
      </c>
      <c r="J218" s="142">
        <f t="shared" si="120"/>
        <v>244.05821599999999</v>
      </c>
      <c r="K218" s="149"/>
    </row>
    <row r="219" spans="1:14" s="151" customFormat="1" ht="46.5" customHeight="1" x14ac:dyDescent="0.25">
      <c r="A219" s="141" t="s">
        <v>706</v>
      </c>
      <c r="B219" s="69" t="s">
        <v>839</v>
      </c>
      <c r="C219" s="69" t="s">
        <v>106</v>
      </c>
      <c r="D219" s="33" t="s">
        <v>722</v>
      </c>
      <c r="E219" s="69" t="s">
        <v>144</v>
      </c>
      <c r="F219" s="70">
        <v>14</v>
      </c>
      <c r="G219" s="71">
        <f>CPU!$H$164</f>
        <v>173.947</v>
      </c>
      <c r="H219" s="73">
        <f t="shared" si="118"/>
        <v>213.03289089999998</v>
      </c>
      <c r="I219" s="77">
        <f t="shared" si="119"/>
        <v>2435.2579999999998</v>
      </c>
      <c r="J219" s="142">
        <f t="shared" si="120"/>
        <v>2982.4604725999998</v>
      </c>
      <c r="K219" s="149"/>
    </row>
    <row r="220" spans="1:14" s="151" customFormat="1" ht="30" x14ac:dyDescent="0.25">
      <c r="A220" s="141" t="s">
        <v>707</v>
      </c>
      <c r="B220" s="69">
        <v>95802</v>
      </c>
      <c r="C220" s="69" t="s">
        <v>17</v>
      </c>
      <c r="D220" s="33" t="s">
        <v>443</v>
      </c>
      <c r="E220" s="69" t="s">
        <v>144</v>
      </c>
      <c r="F220" s="70">
        <v>25</v>
      </c>
      <c r="G220" s="71">
        <v>50.55</v>
      </c>
      <c r="H220" s="73">
        <f t="shared" si="118"/>
        <v>61.908584999999988</v>
      </c>
      <c r="I220" s="77">
        <f t="shared" si="119"/>
        <v>1263.75</v>
      </c>
      <c r="J220" s="142">
        <f t="shared" si="120"/>
        <v>1547.7146249999996</v>
      </c>
      <c r="K220" s="149"/>
    </row>
    <row r="221" spans="1:14" s="151" customFormat="1" x14ac:dyDescent="0.25">
      <c r="A221" s="141" t="s">
        <v>721</v>
      </c>
      <c r="B221" s="69">
        <v>11303</v>
      </c>
      <c r="C221" s="69" t="s">
        <v>140</v>
      </c>
      <c r="D221" s="33" t="s">
        <v>463</v>
      </c>
      <c r="E221" s="69" t="s">
        <v>144</v>
      </c>
      <c r="F221" s="70">
        <v>54</v>
      </c>
      <c r="G221" s="71">
        <v>6.31</v>
      </c>
      <c r="H221" s="73">
        <f t="shared" si="118"/>
        <v>7.7278569999999993</v>
      </c>
      <c r="I221" s="77">
        <f t="shared" si="119"/>
        <v>340.73999999999995</v>
      </c>
      <c r="J221" s="142">
        <f t="shared" si="120"/>
        <v>417.30427799999995</v>
      </c>
      <c r="K221" s="149"/>
    </row>
    <row r="222" spans="1:14" s="151" customFormat="1" ht="30" x14ac:dyDescent="0.25">
      <c r="A222" s="141" t="s">
        <v>1073</v>
      </c>
      <c r="B222" s="69">
        <v>7384</v>
      </c>
      <c r="C222" s="69" t="s">
        <v>140</v>
      </c>
      <c r="D222" s="33" t="s">
        <v>918</v>
      </c>
      <c r="E222" s="69" t="s">
        <v>143</v>
      </c>
      <c r="F222" s="70">
        <f>F212+F213</f>
        <v>246</v>
      </c>
      <c r="G222" s="71">
        <v>23.2</v>
      </c>
      <c r="H222" s="73">
        <f t="shared" si="118"/>
        <v>28.413039999999995</v>
      </c>
      <c r="I222" s="77">
        <f t="shared" si="119"/>
        <v>5707.2</v>
      </c>
      <c r="J222" s="142">
        <f t="shared" si="120"/>
        <v>6989.6078399999988</v>
      </c>
      <c r="K222" s="149"/>
    </row>
    <row r="223" spans="1:14" s="151" customFormat="1" x14ac:dyDescent="0.25">
      <c r="A223" s="141" t="s">
        <v>1074</v>
      </c>
      <c r="B223" s="69">
        <v>12500</v>
      </c>
      <c r="C223" s="69" t="s">
        <v>140</v>
      </c>
      <c r="D223" s="33" t="s">
        <v>919</v>
      </c>
      <c r="E223" s="69" t="s">
        <v>144</v>
      </c>
      <c r="F223" s="70">
        <v>138</v>
      </c>
      <c r="G223" s="71">
        <v>6.87</v>
      </c>
      <c r="H223" s="73">
        <f t="shared" si="118"/>
        <v>8.4136889999999998</v>
      </c>
      <c r="I223" s="77">
        <f t="shared" si="119"/>
        <v>948.06000000000006</v>
      </c>
      <c r="J223" s="142">
        <f t="shared" si="120"/>
        <v>1161.089082</v>
      </c>
      <c r="K223" s="149"/>
    </row>
    <row r="224" spans="1:14" s="151" customFormat="1" x14ac:dyDescent="0.25">
      <c r="A224" s="141" t="s">
        <v>1075</v>
      </c>
      <c r="B224" s="69">
        <v>9816</v>
      </c>
      <c r="C224" s="69" t="s">
        <v>140</v>
      </c>
      <c r="D224" s="33" t="s">
        <v>449</v>
      </c>
      <c r="E224" s="69" t="s">
        <v>144</v>
      </c>
      <c r="F224" s="70">
        <f>276*2</f>
        <v>552</v>
      </c>
      <c r="G224" s="71">
        <v>0.46</v>
      </c>
      <c r="H224" s="73">
        <f t="shared" si="118"/>
        <v>0.56336200000000003</v>
      </c>
      <c r="I224" s="77">
        <f t="shared" si="119"/>
        <v>253.92000000000002</v>
      </c>
      <c r="J224" s="142">
        <f t="shared" si="120"/>
        <v>310.97582399999999</v>
      </c>
      <c r="K224" s="149"/>
    </row>
    <row r="225" spans="1:14" s="151" customFormat="1" x14ac:dyDescent="0.25">
      <c r="A225" s="141" t="s">
        <v>1076</v>
      </c>
      <c r="B225" s="69">
        <v>9832</v>
      </c>
      <c r="C225" s="69" t="s">
        <v>140</v>
      </c>
      <c r="D225" s="33" t="s">
        <v>451</v>
      </c>
      <c r="E225" s="69" t="s">
        <v>144</v>
      </c>
      <c r="F225" s="70">
        <f>276*2</f>
        <v>552</v>
      </c>
      <c r="G225" s="71">
        <v>1.2</v>
      </c>
      <c r="H225" s="73">
        <f t="shared" si="118"/>
        <v>1.4696399999999998</v>
      </c>
      <c r="I225" s="77">
        <f t="shared" si="119"/>
        <v>662.4</v>
      </c>
      <c r="J225" s="142">
        <f t="shared" si="120"/>
        <v>811.24127999999996</v>
      </c>
      <c r="K225" s="149"/>
    </row>
    <row r="226" spans="1:14" s="151" customFormat="1" x14ac:dyDescent="0.25">
      <c r="A226" s="141" t="s">
        <v>1077</v>
      </c>
      <c r="B226" s="69">
        <v>10620</v>
      </c>
      <c r="C226" s="69" t="s">
        <v>140</v>
      </c>
      <c r="D226" s="33" t="s">
        <v>462</v>
      </c>
      <c r="E226" s="69" t="s">
        <v>144</v>
      </c>
      <c r="F226" s="70">
        <v>100</v>
      </c>
      <c r="G226" s="71">
        <v>4.37</v>
      </c>
      <c r="H226" s="73">
        <f t="shared" si="118"/>
        <v>5.3519389999999998</v>
      </c>
      <c r="I226" s="77">
        <f t="shared" si="119"/>
        <v>437</v>
      </c>
      <c r="J226" s="142">
        <f t="shared" si="120"/>
        <v>535.19389999999999</v>
      </c>
      <c r="K226" s="149"/>
    </row>
    <row r="227" spans="1:14" s="180" customFormat="1" x14ac:dyDescent="0.25">
      <c r="A227" s="173" t="s">
        <v>708</v>
      </c>
      <c r="B227" s="174"/>
      <c r="C227" s="174"/>
      <c r="D227" s="174" t="s">
        <v>446</v>
      </c>
      <c r="E227" s="174"/>
      <c r="F227" s="175"/>
      <c r="G227" s="176"/>
      <c r="H227" s="176"/>
      <c r="I227" s="177">
        <f>SUM(I228:I238)</f>
        <v>10352.23</v>
      </c>
      <c r="J227" s="177">
        <f>SUM(J228:J238)</f>
        <v>12678.376080999999</v>
      </c>
      <c r="K227" s="179"/>
      <c r="N227" s="181"/>
    </row>
    <row r="228" spans="1:14" s="151" customFormat="1" ht="45" x14ac:dyDescent="0.25">
      <c r="A228" s="141" t="s">
        <v>709</v>
      </c>
      <c r="B228" s="69" t="s">
        <v>921</v>
      </c>
      <c r="C228" s="69" t="s">
        <v>907</v>
      </c>
      <c r="D228" s="33" t="s">
        <v>920</v>
      </c>
      <c r="E228" s="69" t="s">
        <v>143</v>
      </c>
      <c r="F228" s="70">
        <f>22*3</f>
        <v>66</v>
      </c>
      <c r="G228" s="71">
        <v>114.98</v>
      </c>
      <c r="H228" s="73">
        <f t="shared" ref="H228" si="121">G228*(1+$J$2)</f>
        <v>140.81600599999999</v>
      </c>
      <c r="I228" s="77">
        <f>G228*F228</f>
        <v>7588.68</v>
      </c>
      <c r="J228" s="142">
        <f t="shared" ref="J228" si="122">H228*F228</f>
        <v>9293.8563959999992</v>
      </c>
      <c r="K228" s="149"/>
    </row>
    <row r="229" spans="1:14" s="151" customFormat="1" ht="30" x14ac:dyDescent="0.25">
      <c r="A229" s="141" t="s">
        <v>710</v>
      </c>
      <c r="B229" s="69" t="s">
        <v>923</v>
      </c>
      <c r="C229" s="69" t="s">
        <v>907</v>
      </c>
      <c r="D229" s="33" t="s">
        <v>922</v>
      </c>
      <c r="E229" s="69" t="s">
        <v>144</v>
      </c>
      <c r="F229" s="70">
        <v>1</v>
      </c>
      <c r="G229" s="71">
        <v>80.92</v>
      </c>
      <c r="H229" s="73">
        <f t="shared" ref="H229:H238" si="123">G229*(1+$J$2)</f>
        <v>99.102723999999995</v>
      </c>
      <c r="I229" s="77">
        <f t="shared" ref="I229:I238" si="124">G229*F229</f>
        <v>80.92</v>
      </c>
      <c r="J229" s="142">
        <f t="shared" ref="J229:J238" si="125">H229*F229</f>
        <v>99.102723999999995</v>
      </c>
      <c r="K229" s="149"/>
    </row>
    <row r="230" spans="1:14" s="151" customFormat="1" ht="30" x14ac:dyDescent="0.25">
      <c r="A230" s="141" t="s">
        <v>711</v>
      </c>
      <c r="B230" s="69" t="s">
        <v>925</v>
      </c>
      <c r="C230" s="69" t="s">
        <v>907</v>
      </c>
      <c r="D230" s="33" t="s">
        <v>924</v>
      </c>
      <c r="E230" s="69" t="s">
        <v>144</v>
      </c>
      <c r="F230" s="70">
        <v>1</v>
      </c>
      <c r="G230" s="71">
        <v>52.25</v>
      </c>
      <c r="H230" s="73">
        <f t="shared" si="123"/>
        <v>63.990574999999993</v>
      </c>
      <c r="I230" s="77">
        <f t="shared" si="124"/>
        <v>52.25</v>
      </c>
      <c r="J230" s="142">
        <f t="shared" si="125"/>
        <v>63.990574999999993</v>
      </c>
      <c r="K230" s="149"/>
    </row>
    <row r="231" spans="1:14" s="151" customFormat="1" ht="30" x14ac:dyDescent="0.25">
      <c r="A231" s="141" t="s">
        <v>712</v>
      </c>
      <c r="B231" s="69" t="s">
        <v>927</v>
      </c>
      <c r="C231" s="69" t="s">
        <v>907</v>
      </c>
      <c r="D231" s="33" t="s">
        <v>926</v>
      </c>
      <c r="E231" s="69" t="s">
        <v>144</v>
      </c>
      <c r="F231" s="70">
        <v>1</v>
      </c>
      <c r="G231" s="71">
        <v>75.58</v>
      </c>
      <c r="H231" s="73">
        <f t="shared" si="123"/>
        <v>92.562825999999987</v>
      </c>
      <c r="I231" s="77">
        <f t="shared" si="124"/>
        <v>75.58</v>
      </c>
      <c r="J231" s="142">
        <f t="shared" si="125"/>
        <v>92.562825999999987</v>
      </c>
      <c r="K231" s="149"/>
    </row>
    <row r="232" spans="1:14" s="151" customFormat="1" ht="30" x14ac:dyDescent="0.25">
      <c r="A232" s="141" t="s">
        <v>1078</v>
      </c>
      <c r="B232" s="69">
        <v>11295</v>
      </c>
      <c r="C232" s="69" t="s">
        <v>140</v>
      </c>
      <c r="D232" s="33" t="s">
        <v>928</v>
      </c>
      <c r="E232" s="69" t="s">
        <v>144</v>
      </c>
      <c r="F232" s="70">
        <v>24</v>
      </c>
      <c r="G232" s="71">
        <v>13.01</v>
      </c>
      <c r="H232" s="73">
        <f t="shared" si="123"/>
        <v>15.933346999999998</v>
      </c>
      <c r="I232" s="77">
        <f t="shared" si="124"/>
        <v>312.24</v>
      </c>
      <c r="J232" s="142">
        <f t="shared" si="125"/>
        <v>382.40032799999994</v>
      </c>
      <c r="K232" s="149"/>
    </row>
    <row r="233" spans="1:14" s="151" customFormat="1" ht="30" x14ac:dyDescent="0.25">
      <c r="A233" s="141" t="s">
        <v>1079</v>
      </c>
      <c r="B233" s="69">
        <v>724</v>
      </c>
      <c r="C233" s="69" t="s">
        <v>140</v>
      </c>
      <c r="D233" s="33" t="s">
        <v>447</v>
      </c>
      <c r="E233" s="69" t="s">
        <v>144</v>
      </c>
      <c r="F233" s="70">
        <v>22</v>
      </c>
      <c r="G233" s="71">
        <v>9.5500000000000007</v>
      </c>
      <c r="H233" s="73">
        <f t="shared" si="123"/>
        <v>11.695885000000001</v>
      </c>
      <c r="I233" s="77">
        <f t="shared" si="124"/>
        <v>210.10000000000002</v>
      </c>
      <c r="J233" s="142">
        <f t="shared" si="125"/>
        <v>257.30947000000003</v>
      </c>
      <c r="K233" s="149"/>
    </row>
    <row r="234" spans="1:14" s="151" customFormat="1" x14ac:dyDescent="0.25">
      <c r="A234" s="141" t="s">
        <v>1080</v>
      </c>
      <c r="B234" s="69">
        <v>12500</v>
      </c>
      <c r="C234" s="69" t="s">
        <v>140</v>
      </c>
      <c r="D234" s="33" t="s">
        <v>919</v>
      </c>
      <c r="E234" s="69" t="s">
        <v>144</v>
      </c>
      <c r="F234" s="70">
        <v>66</v>
      </c>
      <c r="G234" s="71">
        <v>6.87</v>
      </c>
      <c r="H234" s="73">
        <f t="shared" si="123"/>
        <v>8.4136889999999998</v>
      </c>
      <c r="I234" s="77">
        <f t="shared" si="124"/>
        <v>453.42</v>
      </c>
      <c r="J234" s="142">
        <f t="shared" si="125"/>
        <v>555.30347399999994</v>
      </c>
      <c r="K234" s="149"/>
    </row>
    <row r="235" spans="1:14" s="151" customFormat="1" x14ac:dyDescent="0.25">
      <c r="A235" s="141" t="s">
        <v>1081</v>
      </c>
      <c r="B235" s="69">
        <v>9816</v>
      </c>
      <c r="C235" s="69" t="s">
        <v>140</v>
      </c>
      <c r="D235" s="33" t="s">
        <v>449</v>
      </c>
      <c r="E235" s="69" t="s">
        <v>144</v>
      </c>
      <c r="F235" s="70">
        <f>40+132*2</f>
        <v>304</v>
      </c>
      <c r="G235" s="71">
        <v>0.46</v>
      </c>
      <c r="H235" s="73">
        <f t="shared" si="123"/>
        <v>0.56336200000000003</v>
      </c>
      <c r="I235" s="77">
        <f t="shared" si="124"/>
        <v>139.84</v>
      </c>
      <c r="J235" s="142">
        <f t="shared" si="125"/>
        <v>171.26204800000002</v>
      </c>
      <c r="K235" s="149"/>
    </row>
    <row r="236" spans="1:14" s="151" customFormat="1" x14ac:dyDescent="0.25">
      <c r="A236" s="141" t="s">
        <v>1082</v>
      </c>
      <c r="B236" s="69">
        <v>9832</v>
      </c>
      <c r="C236" s="69" t="s">
        <v>140</v>
      </c>
      <c r="D236" s="33" t="s">
        <v>451</v>
      </c>
      <c r="E236" s="69" t="s">
        <v>144</v>
      </c>
      <c r="F236" s="70">
        <f>40+132*2</f>
        <v>304</v>
      </c>
      <c r="G236" s="71">
        <v>1.2</v>
      </c>
      <c r="H236" s="73">
        <f t="shared" si="123"/>
        <v>1.4696399999999998</v>
      </c>
      <c r="I236" s="77">
        <f t="shared" si="124"/>
        <v>364.8</v>
      </c>
      <c r="J236" s="142">
        <f t="shared" si="125"/>
        <v>446.77055999999993</v>
      </c>
      <c r="K236" s="149"/>
    </row>
    <row r="237" spans="1:14" s="151" customFormat="1" ht="30" x14ac:dyDescent="0.25">
      <c r="A237" s="141" t="s">
        <v>1083</v>
      </c>
      <c r="B237" s="69">
        <v>685</v>
      </c>
      <c r="C237" s="69" t="s">
        <v>140</v>
      </c>
      <c r="D237" s="33" t="s">
        <v>915</v>
      </c>
      <c r="E237" s="69" t="s">
        <v>144</v>
      </c>
      <c r="F237" s="70">
        <v>40</v>
      </c>
      <c r="G237" s="71">
        <v>5.01</v>
      </c>
      <c r="H237" s="73">
        <f t="shared" si="123"/>
        <v>6.1357469999999994</v>
      </c>
      <c r="I237" s="77">
        <f t="shared" si="124"/>
        <v>200.39999999999998</v>
      </c>
      <c r="J237" s="142">
        <f t="shared" si="125"/>
        <v>245.42987999999997</v>
      </c>
      <c r="K237" s="149"/>
    </row>
    <row r="238" spans="1:14" s="151" customFormat="1" x14ac:dyDescent="0.25">
      <c r="A238" s="141" t="s">
        <v>1084</v>
      </c>
      <c r="B238" s="69">
        <v>10620</v>
      </c>
      <c r="C238" s="69" t="s">
        <v>140</v>
      </c>
      <c r="D238" s="33" t="s">
        <v>462</v>
      </c>
      <c r="E238" s="69" t="s">
        <v>144</v>
      </c>
      <c r="F238" s="70">
        <v>200</v>
      </c>
      <c r="G238" s="71">
        <v>4.37</v>
      </c>
      <c r="H238" s="73">
        <f t="shared" si="123"/>
        <v>5.3519389999999998</v>
      </c>
      <c r="I238" s="77">
        <f t="shared" si="124"/>
        <v>874</v>
      </c>
      <c r="J238" s="142">
        <f t="shared" si="125"/>
        <v>1070.3878</v>
      </c>
      <c r="K238" s="149"/>
    </row>
    <row r="239" spans="1:14" s="151" customFormat="1" x14ac:dyDescent="0.25">
      <c r="A239" s="168"/>
      <c r="B239" s="169"/>
      <c r="C239" s="169"/>
      <c r="D239" s="169"/>
      <c r="E239" s="169"/>
      <c r="F239" s="169"/>
      <c r="G239" s="169"/>
      <c r="H239" s="169"/>
      <c r="I239" s="169"/>
      <c r="J239" s="165"/>
      <c r="K239" s="149"/>
    </row>
    <row r="240" spans="1:14" s="3" customFormat="1" x14ac:dyDescent="0.25">
      <c r="A240" s="140">
        <v>10</v>
      </c>
      <c r="B240" s="5"/>
      <c r="C240" s="5"/>
      <c r="D240" s="5" t="s">
        <v>162</v>
      </c>
      <c r="E240" s="5"/>
      <c r="F240" s="6"/>
      <c r="G240" s="7"/>
      <c r="H240" s="7"/>
      <c r="I240" s="80">
        <f>SUM(I241:I243)</f>
        <v>1347.0300000000002</v>
      </c>
      <c r="J240" s="80">
        <f>SUM(J241:J243)</f>
        <v>1649.707641</v>
      </c>
      <c r="K240" s="90"/>
      <c r="N240" s="57"/>
    </row>
    <row r="241" spans="1:14" s="151" customFormat="1" x14ac:dyDescent="0.25">
      <c r="A241" s="141" t="s">
        <v>91</v>
      </c>
      <c r="B241" s="69" t="s">
        <v>840</v>
      </c>
      <c r="C241" s="33" t="s">
        <v>156</v>
      </c>
      <c r="D241" s="246" t="s">
        <v>473</v>
      </c>
      <c r="E241" s="69" t="s">
        <v>144</v>
      </c>
      <c r="F241" s="70">
        <f>MC!$J$317</f>
        <v>19</v>
      </c>
      <c r="G241" s="71">
        <f>CPU!$H$171</f>
        <v>25.785</v>
      </c>
      <c r="H241" s="73">
        <f t="shared" ref="H241" si="126">G241*(1+$J$2)</f>
        <v>31.578889499999999</v>
      </c>
      <c r="I241" s="77">
        <f>G241*F241</f>
        <v>489.91500000000002</v>
      </c>
      <c r="J241" s="142">
        <f t="shared" ref="J241" si="127">H241*F241</f>
        <v>599.99890049999999</v>
      </c>
      <c r="K241" s="149"/>
    </row>
    <row r="242" spans="1:14" s="151" customFormat="1" x14ac:dyDescent="0.25">
      <c r="A242" s="141" t="s">
        <v>65</v>
      </c>
      <c r="B242" s="69" t="s">
        <v>841</v>
      </c>
      <c r="C242" s="33" t="s">
        <v>156</v>
      </c>
      <c r="D242" s="246" t="s">
        <v>560</v>
      </c>
      <c r="E242" s="69" t="s">
        <v>144</v>
      </c>
      <c r="F242" s="70">
        <f>MC!$J$328</f>
        <v>19</v>
      </c>
      <c r="G242" s="71">
        <f>CPU!$H$175</f>
        <v>25.785</v>
      </c>
      <c r="H242" s="73">
        <f t="shared" ref="H242:H243" si="128">G242*(1+$J$2)</f>
        <v>31.578889499999999</v>
      </c>
      <c r="I242" s="77">
        <f t="shared" ref="I242:I243" si="129">G242*F242</f>
        <v>489.91500000000002</v>
      </c>
      <c r="J242" s="142">
        <f t="shared" ref="J242:J243" si="130">H242*F242</f>
        <v>599.99890049999999</v>
      </c>
      <c r="K242" s="149"/>
    </row>
    <row r="243" spans="1:14" s="151" customFormat="1" ht="30" x14ac:dyDescent="0.25">
      <c r="A243" s="141" t="s">
        <v>677</v>
      </c>
      <c r="B243" s="69" t="s">
        <v>678</v>
      </c>
      <c r="C243" s="33" t="s">
        <v>6</v>
      </c>
      <c r="D243" s="246" t="s">
        <v>679</v>
      </c>
      <c r="E243" s="69" t="s">
        <v>144</v>
      </c>
      <c r="F243" s="70">
        <v>12</v>
      </c>
      <c r="G243" s="71">
        <v>30.6</v>
      </c>
      <c r="H243" s="73">
        <f t="shared" si="128"/>
        <v>37.475819999999999</v>
      </c>
      <c r="I243" s="77">
        <f t="shared" si="129"/>
        <v>367.20000000000005</v>
      </c>
      <c r="J243" s="142">
        <f t="shared" si="130"/>
        <v>449.70983999999999</v>
      </c>
      <c r="K243" s="149"/>
    </row>
    <row r="244" spans="1:14" s="151" customFormat="1" x14ac:dyDescent="0.25">
      <c r="A244" s="168"/>
      <c r="B244" s="169"/>
      <c r="C244" s="169"/>
      <c r="D244" s="169"/>
      <c r="E244" s="169"/>
      <c r="F244" s="169"/>
      <c r="G244" s="169"/>
      <c r="H244" s="169"/>
      <c r="I244" s="169"/>
      <c r="J244" s="165"/>
      <c r="K244" s="149"/>
    </row>
    <row r="245" spans="1:14" s="3" customFormat="1" x14ac:dyDescent="0.25">
      <c r="A245" s="140">
        <v>11</v>
      </c>
      <c r="B245" s="5"/>
      <c r="C245" s="5"/>
      <c r="D245" s="5" t="s">
        <v>163</v>
      </c>
      <c r="E245" s="5"/>
      <c r="F245" s="6"/>
      <c r="G245" s="7"/>
      <c r="H245" s="7"/>
      <c r="I245" s="80">
        <f ca="1">SUM(I246:I264)</f>
        <v>120944.818088</v>
      </c>
      <c r="J245" s="80">
        <f ca="1">SUM(J246:J264)</f>
        <v>148121.11871237357</v>
      </c>
      <c r="K245" s="90"/>
      <c r="N245" s="57"/>
    </row>
    <row r="246" spans="1:14" s="151" customFormat="1" ht="30" x14ac:dyDescent="0.25">
      <c r="A246" s="141" t="s">
        <v>66</v>
      </c>
      <c r="B246" s="69">
        <v>9842</v>
      </c>
      <c r="C246" s="33" t="s">
        <v>140</v>
      </c>
      <c r="D246" s="246" t="s">
        <v>602</v>
      </c>
      <c r="E246" s="69" t="s">
        <v>143</v>
      </c>
      <c r="F246" s="70">
        <v>215</v>
      </c>
      <c r="G246" s="71">
        <v>76.66</v>
      </c>
      <c r="H246" s="73">
        <f t="shared" ref="H246" si="131">G246*(1+$J$2)</f>
        <v>93.885501999999988</v>
      </c>
      <c r="I246" s="77">
        <f>G246*F246</f>
        <v>16481.899999999998</v>
      </c>
      <c r="J246" s="142">
        <f t="shared" ref="J246" si="132">H246*F246</f>
        <v>20185.382929999996</v>
      </c>
      <c r="K246" s="149"/>
    </row>
    <row r="247" spans="1:14" s="151" customFormat="1" ht="30" x14ac:dyDescent="0.25">
      <c r="A247" s="141" t="s">
        <v>67</v>
      </c>
      <c r="B247" s="69">
        <v>89714</v>
      </c>
      <c r="C247" s="69" t="s">
        <v>17</v>
      </c>
      <c r="D247" s="246" t="s">
        <v>603</v>
      </c>
      <c r="E247" s="69" t="s">
        <v>143</v>
      </c>
      <c r="F247" s="70">
        <v>1.5</v>
      </c>
      <c r="G247" s="71">
        <v>36.75</v>
      </c>
      <c r="H247" s="73">
        <f t="shared" ref="H247:H264" si="133">G247*(1+$J$2)</f>
        <v>45.007724999999994</v>
      </c>
      <c r="I247" s="77">
        <f t="shared" ref="I247:I264" si="134">G247*F247</f>
        <v>55.125</v>
      </c>
      <c r="J247" s="142">
        <f t="shared" ref="J247:J264" si="135">H247*F247</f>
        <v>67.51158749999999</v>
      </c>
      <c r="K247" s="149"/>
    </row>
    <row r="248" spans="1:14" s="151" customFormat="1" ht="30" x14ac:dyDescent="0.25">
      <c r="A248" s="141" t="s">
        <v>68</v>
      </c>
      <c r="B248" s="69" t="s">
        <v>842</v>
      </c>
      <c r="C248" s="69" t="s">
        <v>106</v>
      </c>
      <c r="D248" s="246" t="s">
        <v>604</v>
      </c>
      <c r="E248" s="69" t="s">
        <v>143</v>
      </c>
      <c r="F248" s="70">
        <v>2</v>
      </c>
      <c r="G248" s="71">
        <f>CPU!$H$179</f>
        <v>100.550051</v>
      </c>
      <c r="H248" s="73">
        <f t="shared" si="133"/>
        <v>123.14364745969999</v>
      </c>
      <c r="I248" s="77">
        <f t="shared" si="134"/>
        <v>201.10010199999999</v>
      </c>
      <c r="J248" s="142">
        <f t="shared" si="135"/>
        <v>246.28729491939998</v>
      </c>
      <c r="K248" s="149"/>
    </row>
    <row r="249" spans="1:14" s="151" customFormat="1" ht="45" x14ac:dyDescent="0.25">
      <c r="A249" s="141" t="s">
        <v>69</v>
      </c>
      <c r="B249" s="69">
        <v>97331</v>
      </c>
      <c r="C249" s="69" t="s">
        <v>17</v>
      </c>
      <c r="D249" s="33" t="s">
        <v>610</v>
      </c>
      <c r="E249" s="69" t="s">
        <v>143</v>
      </c>
      <c r="F249" s="70">
        <v>162</v>
      </c>
      <c r="G249" s="71">
        <v>26.45</v>
      </c>
      <c r="H249" s="73">
        <f t="shared" si="133"/>
        <v>32.393314999999994</v>
      </c>
      <c r="I249" s="77">
        <f t="shared" si="134"/>
        <v>4284.8999999999996</v>
      </c>
      <c r="J249" s="142">
        <f t="shared" si="135"/>
        <v>5247.7170299999989</v>
      </c>
      <c r="K249" s="149"/>
    </row>
    <row r="250" spans="1:14" s="151" customFormat="1" ht="45" x14ac:dyDescent="0.25">
      <c r="A250" s="141" t="s">
        <v>70</v>
      </c>
      <c r="B250" s="69">
        <v>97332</v>
      </c>
      <c r="C250" s="69" t="s">
        <v>17</v>
      </c>
      <c r="D250" s="33" t="s">
        <v>611</v>
      </c>
      <c r="E250" s="69" t="s">
        <v>143</v>
      </c>
      <c r="F250" s="70">
        <v>152</v>
      </c>
      <c r="G250" s="71">
        <v>43.26</v>
      </c>
      <c r="H250" s="73">
        <f t="shared" si="133"/>
        <v>52.980521999999993</v>
      </c>
      <c r="I250" s="77">
        <f t="shared" si="134"/>
        <v>6575.5199999999995</v>
      </c>
      <c r="J250" s="142">
        <f t="shared" si="135"/>
        <v>8053.0393439999989</v>
      </c>
      <c r="K250" s="149"/>
    </row>
    <row r="251" spans="1:14" s="151" customFormat="1" collapsed="1" x14ac:dyDescent="0.25">
      <c r="A251" s="141" t="s">
        <v>164</v>
      </c>
      <c r="B251" s="69" t="s">
        <v>975</v>
      </c>
      <c r="C251" s="69" t="s">
        <v>106</v>
      </c>
      <c r="D251" s="246" t="s">
        <v>584</v>
      </c>
      <c r="E251" s="69" t="s">
        <v>144</v>
      </c>
      <c r="F251" s="70">
        <v>18</v>
      </c>
      <c r="G251" s="71">
        <f ca="1">CPU!$H$185</f>
        <v>87.858000000000004</v>
      </c>
      <c r="H251" s="73">
        <f t="shared" ca="1" si="133"/>
        <v>107.5996926</v>
      </c>
      <c r="I251" s="77">
        <f t="shared" ca="1" si="134"/>
        <v>1581.444</v>
      </c>
      <c r="J251" s="142">
        <f t="shared" ca="1" si="135"/>
        <v>1936.7944668</v>
      </c>
      <c r="K251" s="149"/>
    </row>
    <row r="252" spans="1:14" s="151" customFormat="1" collapsed="1" x14ac:dyDescent="0.25">
      <c r="A252" s="141" t="s">
        <v>165</v>
      </c>
      <c r="B252" s="69" t="s">
        <v>976</v>
      </c>
      <c r="C252" s="69" t="s">
        <v>106</v>
      </c>
      <c r="D252" s="246" t="s">
        <v>585</v>
      </c>
      <c r="E252" s="69" t="s">
        <v>144</v>
      </c>
      <c r="F252" s="70">
        <v>6</v>
      </c>
      <c r="G252" s="71">
        <f ca="1">CPU!$H$189</f>
        <v>35.968000000000004</v>
      </c>
      <c r="H252" s="73">
        <f t="shared" ca="1" si="133"/>
        <v>44.050009600000003</v>
      </c>
      <c r="I252" s="77">
        <f t="shared" ca="1" si="134"/>
        <v>215.80800000000002</v>
      </c>
      <c r="J252" s="142">
        <f t="shared" ca="1" si="135"/>
        <v>264.3000576</v>
      </c>
      <c r="K252" s="149"/>
    </row>
    <row r="253" spans="1:14" s="151" customFormat="1" collapsed="1" x14ac:dyDescent="0.25">
      <c r="A253" s="141" t="s">
        <v>166</v>
      </c>
      <c r="B253" s="69" t="s">
        <v>977</v>
      </c>
      <c r="C253" s="69" t="s">
        <v>106</v>
      </c>
      <c r="D253" s="246" t="s">
        <v>586</v>
      </c>
      <c r="E253" s="69" t="s">
        <v>144</v>
      </c>
      <c r="F253" s="70">
        <v>2</v>
      </c>
      <c r="G253" s="71">
        <f ca="1">CPU!$H$193</f>
        <v>35.968000000000004</v>
      </c>
      <c r="H253" s="73">
        <f t="shared" ca="1" si="133"/>
        <v>44.050009600000003</v>
      </c>
      <c r="I253" s="77">
        <f t="shared" ca="1" si="134"/>
        <v>71.936000000000007</v>
      </c>
      <c r="J253" s="142">
        <f t="shared" ca="1" si="135"/>
        <v>88.100019200000006</v>
      </c>
      <c r="K253" s="149"/>
    </row>
    <row r="254" spans="1:14" s="151" customFormat="1" collapsed="1" x14ac:dyDescent="0.25">
      <c r="A254" s="141" t="s">
        <v>167</v>
      </c>
      <c r="B254" s="69" t="s">
        <v>978</v>
      </c>
      <c r="C254" s="69" t="s">
        <v>106</v>
      </c>
      <c r="D254" s="246" t="s">
        <v>614</v>
      </c>
      <c r="E254" s="69" t="s">
        <v>144</v>
      </c>
      <c r="F254" s="70">
        <v>1</v>
      </c>
      <c r="G254" s="71">
        <f ca="1">CPU!$H$197</f>
        <v>864.56999999999994</v>
      </c>
      <c r="H254" s="73">
        <f t="shared" ca="1" si="133"/>
        <v>1058.8388789999999</v>
      </c>
      <c r="I254" s="77">
        <f t="shared" ca="1" si="134"/>
        <v>864.56999999999994</v>
      </c>
      <c r="J254" s="142">
        <f t="shared" ca="1" si="135"/>
        <v>1058.8388789999999</v>
      </c>
      <c r="K254" s="149"/>
    </row>
    <row r="255" spans="1:14" s="151" customFormat="1" collapsed="1" x14ac:dyDescent="0.25">
      <c r="A255" s="141" t="s">
        <v>168</v>
      </c>
      <c r="B255" s="69" t="s">
        <v>979</v>
      </c>
      <c r="C255" s="69" t="s">
        <v>106</v>
      </c>
      <c r="D255" s="246" t="s">
        <v>613</v>
      </c>
      <c r="E255" s="69" t="s">
        <v>144</v>
      </c>
      <c r="F255" s="70">
        <v>5</v>
      </c>
      <c r="G255" s="71">
        <f ca="1">CPU!$H$203</f>
        <v>925.47</v>
      </c>
      <c r="H255" s="73">
        <f t="shared" ca="1" si="133"/>
        <v>1133.4231089999998</v>
      </c>
      <c r="I255" s="77">
        <f t="shared" ca="1" si="134"/>
        <v>4627.3500000000004</v>
      </c>
      <c r="J255" s="142">
        <f t="shared" ca="1" si="135"/>
        <v>5667.1155449999987</v>
      </c>
      <c r="K255" s="149"/>
    </row>
    <row r="256" spans="1:14" s="151" customFormat="1" collapsed="1" x14ac:dyDescent="0.25">
      <c r="A256" s="141" t="s">
        <v>169</v>
      </c>
      <c r="B256" s="69" t="s">
        <v>980</v>
      </c>
      <c r="C256" s="69" t="s">
        <v>106</v>
      </c>
      <c r="D256" s="246" t="s">
        <v>612</v>
      </c>
      <c r="E256" s="69" t="s">
        <v>144</v>
      </c>
      <c r="F256" s="70">
        <v>2</v>
      </c>
      <c r="G256" s="71">
        <f ca="1">CPU!H209</f>
        <v>1279.5700000000002</v>
      </c>
      <c r="H256" s="73">
        <f t="shared" ca="1" si="133"/>
        <v>1567.089379</v>
      </c>
      <c r="I256" s="77">
        <f t="shared" ca="1" si="134"/>
        <v>2559.1400000000003</v>
      </c>
      <c r="J256" s="142">
        <f t="shared" ca="1" si="135"/>
        <v>3134.178758</v>
      </c>
      <c r="K256" s="149"/>
    </row>
    <row r="257" spans="1:32" s="151" customFormat="1" ht="30" x14ac:dyDescent="0.25">
      <c r="A257" s="141" t="s">
        <v>170</v>
      </c>
      <c r="B257" s="69" t="s">
        <v>981</v>
      </c>
      <c r="C257" s="33" t="s">
        <v>156</v>
      </c>
      <c r="D257" s="246" t="s">
        <v>597</v>
      </c>
      <c r="E257" s="69" t="s">
        <v>144</v>
      </c>
      <c r="F257" s="70">
        <v>1</v>
      </c>
      <c r="G257" s="71">
        <f ca="1">CPU!$H$215</f>
        <v>38616.731336000004</v>
      </c>
      <c r="H257" s="73">
        <f t="shared" ca="1" si="133"/>
        <v>47293.9108671992</v>
      </c>
      <c r="I257" s="77">
        <f t="shared" ca="1" si="134"/>
        <v>38616.731336000004</v>
      </c>
      <c r="J257" s="142">
        <f t="shared" ca="1" si="135"/>
        <v>47293.9108671992</v>
      </c>
      <c r="K257" s="149"/>
    </row>
    <row r="258" spans="1:32" s="151" customFormat="1" ht="30" x14ac:dyDescent="0.25">
      <c r="A258" s="141" t="s">
        <v>555</v>
      </c>
      <c r="B258" s="69" t="s">
        <v>982</v>
      </c>
      <c r="C258" s="69" t="s">
        <v>156</v>
      </c>
      <c r="D258" s="33" t="s">
        <v>598</v>
      </c>
      <c r="E258" s="69" t="s">
        <v>144</v>
      </c>
      <c r="F258" s="70">
        <v>1</v>
      </c>
      <c r="G258" s="71">
        <f ca="1">CPU!$H$229</f>
        <v>18782.506899999997</v>
      </c>
      <c r="H258" s="73">
        <f t="shared" ca="1" si="133"/>
        <v>23002.936200429995</v>
      </c>
      <c r="I258" s="77">
        <f t="shared" ca="1" si="134"/>
        <v>18782.506899999997</v>
      </c>
      <c r="J258" s="142">
        <f t="shared" ca="1" si="135"/>
        <v>23002.936200429995</v>
      </c>
      <c r="K258" s="149"/>
    </row>
    <row r="259" spans="1:32" s="151" customFormat="1" ht="33" customHeight="1" x14ac:dyDescent="0.25">
      <c r="A259" s="141" t="s">
        <v>556</v>
      </c>
      <c r="B259" s="69" t="s">
        <v>983</v>
      </c>
      <c r="C259" s="69" t="s">
        <v>156</v>
      </c>
      <c r="D259" s="33" t="s">
        <v>599</v>
      </c>
      <c r="E259" s="69" t="s">
        <v>144</v>
      </c>
      <c r="F259" s="70">
        <v>1</v>
      </c>
      <c r="G259" s="71">
        <f ca="1">CPU!$H$244</f>
        <v>14541.071400000001</v>
      </c>
      <c r="H259" s="73">
        <f t="shared" ca="1" si="133"/>
        <v>17808.450143580001</v>
      </c>
      <c r="I259" s="77">
        <f t="shared" ca="1" si="134"/>
        <v>14541.071400000001</v>
      </c>
      <c r="J259" s="142">
        <f t="shared" ca="1" si="135"/>
        <v>17808.450143580001</v>
      </c>
      <c r="K259" s="149"/>
    </row>
    <row r="260" spans="1:32" s="151" customFormat="1" ht="33" customHeight="1" x14ac:dyDescent="0.25">
      <c r="A260" s="141" t="s">
        <v>636</v>
      </c>
      <c r="B260" s="69" t="s">
        <v>984</v>
      </c>
      <c r="C260" s="69" t="s">
        <v>156</v>
      </c>
      <c r="D260" s="33" t="s">
        <v>680</v>
      </c>
      <c r="E260" s="69" t="s">
        <v>144</v>
      </c>
      <c r="F260" s="70">
        <v>2</v>
      </c>
      <c r="G260" s="71">
        <f>CPU!$H$259</f>
        <v>1013.8732</v>
      </c>
      <c r="H260" s="73">
        <f t="shared" si="133"/>
        <v>1241.6905080399999</v>
      </c>
      <c r="I260" s="77">
        <f t="shared" si="134"/>
        <v>2027.7464</v>
      </c>
      <c r="J260" s="142">
        <f t="shared" si="135"/>
        <v>2483.3810160799999</v>
      </c>
      <c r="K260" s="149"/>
    </row>
    <row r="261" spans="1:32" s="151" customFormat="1" ht="33" customHeight="1" x14ac:dyDescent="0.25">
      <c r="A261" s="141" t="s">
        <v>637</v>
      </c>
      <c r="B261" s="69" t="s">
        <v>985</v>
      </c>
      <c r="C261" s="69" t="s">
        <v>156</v>
      </c>
      <c r="D261" s="33" t="s">
        <v>631</v>
      </c>
      <c r="E261" s="69" t="s">
        <v>144</v>
      </c>
      <c r="F261" s="70">
        <v>2</v>
      </c>
      <c r="G261" s="71">
        <f>CPU!$H$270</f>
        <v>431.2</v>
      </c>
      <c r="H261" s="73">
        <f t="shared" si="133"/>
        <v>528.09063999999989</v>
      </c>
      <c r="I261" s="77">
        <f t="shared" si="134"/>
        <v>862.4</v>
      </c>
      <c r="J261" s="142">
        <f t="shared" si="135"/>
        <v>1056.1812799999998</v>
      </c>
      <c r="K261" s="149"/>
    </row>
    <row r="262" spans="1:32" s="151" customFormat="1" x14ac:dyDescent="0.25">
      <c r="A262" s="141" t="s">
        <v>638</v>
      </c>
      <c r="B262" s="69" t="s">
        <v>993</v>
      </c>
      <c r="C262" s="69" t="s">
        <v>156</v>
      </c>
      <c r="D262" s="33" t="s">
        <v>632</v>
      </c>
      <c r="E262" s="69" t="s">
        <v>144</v>
      </c>
      <c r="F262" s="70">
        <v>12</v>
      </c>
      <c r="G262" s="71">
        <f>CPU!$H$275</f>
        <v>134.75</v>
      </c>
      <c r="H262" s="73">
        <f t="shared" si="133"/>
        <v>165.028325</v>
      </c>
      <c r="I262" s="77">
        <f t="shared" si="134"/>
        <v>1617</v>
      </c>
      <c r="J262" s="142">
        <f t="shared" si="135"/>
        <v>1980.3398999999999</v>
      </c>
      <c r="K262" s="149"/>
    </row>
    <row r="263" spans="1:32" s="151" customFormat="1" x14ac:dyDescent="0.25">
      <c r="A263" s="141" t="s">
        <v>639</v>
      </c>
      <c r="B263" s="69" t="s">
        <v>994</v>
      </c>
      <c r="C263" s="69" t="s">
        <v>156</v>
      </c>
      <c r="D263" s="33" t="s">
        <v>634</v>
      </c>
      <c r="E263" s="69" t="s">
        <v>98</v>
      </c>
      <c r="F263" s="70">
        <f>0.6*(F248+F249)</f>
        <v>98.399999999999991</v>
      </c>
      <c r="G263" s="71">
        <f>CPU!H279</f>
        <v>51.423000000000002</v>
      </c>
      <c r="H263" s="73">
        <f t="shared" si="133"/>
        <v>62.977748099999999</v>
      </c>
      <c r="I263" s="77">
        <f t="shared" si="134"/>
        <v>5060.0231999999996</v>
      </c>
      <c r="J263" s="142">
        <f t="shared" si="135"/>
        <v>6197.0104130399995</v>
      </c>
      <c r="K263" s="149"/>
    </row>
    <row r="264" spans="1:32" s="151" customFormat="1" x14ac:dyDescent="0.25">
      <c r="A264" s="141" t="s">
        <v>785</v>
      </c>
      <c r="B264" s="69" t="s">
        <v>1000</v>
      </c>
      <c r="C264" s="69" t="s">
        <v>156</v>
      </c>
      <c r="D264" s="33" t="s">
        <v>786</v>
      </c>
      <c r="E264" s="69" t="s">
        <v>143</v>
      </c>
      <c r="F264" s="70">
        <f>((12.52+0.8*2+3.9+8+2.15+6.02+4.82+13.85+1.59))*1.5</f>
        <v>81.675000000000011</v>
      </c>
      <c r="G264" s="71">
        <f>CPU!H283</f>
        <v>23.49</v>
      </c>
      <c r="H264" s="73">
        <f t="shared" si="133"/>
        <v>28.768202999999996</v>
      </c>
      <c r="I264" s="77">
        <f t="shared" si="134"/>
        <v>1918.5457500000002</v>
      </c>
      <c r="J264" s="142">
        <f t="shared" si="135"/>
        <v>2349.6429800249998</v>
      </c>
      <c r="K264" s="149"/>
    </row>
    <row r="265" spans="1:32" s="151" customFormat="1" x14ac:dyDescent="0.25">
      <c r="A265" s="168"/>
      <c r="B265" s="169"/>
      <c r="C265" s="169"/>
      <c r="D265" s="169"/>
      <c r="E265" s="169"/>
      <c r="F265" s="169"/>
      <c r="G265" s="169"/>
      <c r="H265" s="169"/>
      <c r="I265" s="169"/>
      <c r="J265" s="165"/>
      <c r="K265" s="149"/>
    </row>
    <row r="266" spans="1:32" s="3" customFormat="1" x14ac:dyDescent="0.25">
      <c r="A266" s="140">
        <v>12</v>
      </c>
      <c r="B266" s="5"/>
      <c r="C266" s="5"/>
      <c r="D266" s="5" t="s">
        <v>20</v>
      </c>
      <c r="E266" s="5"/>
      <c r="F266" s="6"/>
      <c r="G266" s="7"/>
      <c r="H266" s="7"/>
      <c r="I266" s="4">
        <f ca="1">SUM(I267:I277)</f>
        <v>168834.80021999998</v>
      </c>
      <c r="J266" s="4">
        <f ca="1">SUM(J267:J277)</f>
        <v>206771.97982943396</v>
      </c>
      <c r="K266" s="90"/>
      <c r="N266" s="57"/>
    </row>
    <row r="267" spans="1:32" s="151" customFormat="1" ht="30" collapsed="1" x14ac:dyDescent="0.25">
      <c r="A267" s="141" t="s">
        <v>71</v>
      </c>
      <c r="B267" s="33" t="s">
        <v>986</v>
      </c>
      <c r="C267" s="69" t="s">
        <v>156</v>
      </c>
      <c r="D267" s="33" t="s">
        <v>354</v>
      </c>
      <c r="E267" s="69" t="s">
        <v>474</v>
      </c>
      <c r="F267" s="70">
        <v>7</v>
      </c>
      <c r="G267" s="76">
        <f>CPU!$H$286</f>
        <v>71.708560000000006</v>
      </c>
      <c r="H267" s="73">
        <f t="shared" ref="H267" si="136">G267*(1+$J$2)</f>
        <v>87.821473432000005</v>
      </c>
      <c r="I267" s="77">
        <f>G267*F267</f>
        <v>501.95992000000001</v>
      </c>
      <c r="J267" s="142">
        <f t="shared" ref="J267" si="137">H267*F267</f>
        <v>614.75031402400009</v>
      </c>
      <c r="K267" s="149"/>
      <c r="L267" s="150"/>
    </row>
    <row r="268" spans="1:32" s="151" customFormat="1" ht="45" x14ac:dyDescent="0.25">
      <c r="A268" s="141" t="s">
        <v>72</v>
      </c>
      <c r="B268" s="74" t="str">
        <f>'COT.'!$A$67</f>
        <v>COT-11</v>
      </c>
      <c r="C268" s="69" t="s">
        <v>156</v>
      </c>
      <c r="D268" s="33" t="s">
        <v>865</v>
      </c>
      <c r="E268" s="69" t="s">
        <v>445</v>
      </c>
      <c r="F268" s="70">
        <v>1</v>
      </c>
      <c r="G268" s="76">
        <f ca="1">'COT.'!$E$67</f>
        <v>88162.128599999982</v>
      </c>
      <c r="H268" s="73">
        <f t="shared" ref="H268:H277" ca="1" si="138">G268*(1+$J$2)</f>
        <v>107972.15889641996</v>
      </c>
      <c r="I268" s="77">
        <f t="shared" ref="I268:I277" ca="1" si="139">G268*F268</f>
        <v>88162.128599999982</v>
      </c>
      <c r="J268" s="142">
        <f t="shared" ref="J268:J277" ca="1" si="140">H268*F268</f>
        <v>107972.15889641996</v>
      </c>
      <c r="K268" s="149"/>
    </row>
    <row r="269" spans="1:32" s="151" customFormat="1" ht="45" x14ac:dyDescent="0.25">
      <c r="A269" s="141" t="s">
        <v>73</v>
      </c>
      <c r="B269" s="74" t="str">
        <f>'COT.'!$A$72</f>
        <v>COT-12</v>
      </c>
      <c r="C269" s="69" t="s">
        <v>156</v>
      </c>
      <c r="D269" s="33" t="s">
        <v>864</v>
      </c>
      <c r="E269" s="69" t="s">
        <v>445</v>
      </c>
      <c r="F269" s="70">
        <v>1</v>
      </c>
      <c r="G269" s="76">
        <f ca="1">'COT.'!$E$72</f>
        <v>23761.57</v>
      </c>
      <c r="H269" s="73">
        <f t="shared" ca="1" si="138"/>
        <v>29100.794778999996</v>
      </c>
      <c r="I269" s="77">
        <f t="shared" ca="1" si="139"/>
        <v>23761.57</v>
      </c>
      <c r="J269" s="142">
        <f t="shared" ca="1" si="140"/>
        <v>29100.794778999996</v>
      </c>
      <c r="K269" s="149"/>
    </row>
    <row r="270" spans="1:32" s="152" customFormat="1" ht="60" x14ac:dyDescent="0.25">
      <c r="A270" s="141" t="s">
        <v>74</v>
      </c>
      <c r="B270" s="74" t="str">
        <f>'COT.'!$A$77</f>
        <v>COT-13</v>
      </c>
      <c r="C270" s="69" t="s">
        <v>156</v>
      </c>
      <c r="D270" s="33" t="s">
        <v>660</v>
      </c>
      <c r="E270" s="69" t="s">
        <v>474</v>
      </c>
      <c r="F270" s="70">
        <v>1</v>
      </c>
      <c r="G270" s="71">
        <f ca="1">'COT.'!$E$77</f>
        <v>10591.23</v>
      </c>
      <c r="H270" s="73">
        <f t="shared" ca="1" si="138"/>
        <v>12971.079380999998</v>
      </c>
      <c r="I270" s="77">
        <f t="shared" ca="1" si="139"/>
        <v>10591.23</v>
      </c>
      <c r="J270" s="142">
        <f t="shared" ca="1" si="140"/>
        <v>12971.079380999998</v>
      </c>
      <c r="K270" s="149"/>
      <c r="L270" s="151"/>
      <c r="M270" s="151"/>
      <c r="N270" s="151"/>
      <c r="O270" s="151"/>
      <c r="P270" s="151"/>
      <c r="Q270" s="151"/>
      <c r="R270" s="151"/>
      <c r="S270" s="151"/>
      <c r="T270" s="151"/>
      <c r="U270" s="151"/>
      <c r="V270" s="151"/>
      <c r="W270" s="151"/>
      <c r="X270" s="151"/>
      <c r="Y270" s="151"/>
      <c r="Z270" s="151"/>
      <c r="AA270" s="151"/>
      <c r="AB270" s="151"/>
      <c r="AC270" s="151"/>
      <c r="AD270" s="151"/>
      <c r="AE270" s="151"/>
      <c r="AF270" s="151"/>
    </row>
    <row r="271" spans="1:32" s="151" customFormat="1" ht="45" x14ac:dyDescent="0.25">
      <c r="A271" s="141" t="s">
        <v>92</v>
      </c>
      <c r="B271" s="74" t="str">
        <f>'COT.'!$A$82</f>
        <v>COT-14</v>
      </c>
      <c r="C271" s="69" t="s">
        <v>156</v>
      </c>
      <c r="D271" s="33" t="s">
        <v>871</v>
      </c>
      <c r="E271" s="69" t="s">
        <v>474</v>
      </c>
      <c r="F271" s="70">
        <v>5</v>
      </c>
      <c r="G271" s="76">
        <f ca="1">'COT.'!$E$82</f>
        <v>8715.7000000000007</v>
      </c>
      <c r="H271" s="73">
        <f t="shared" ca="1" si="138"/>
        <v>10674.11779</v>
      </c>
      <c r="I271" s="77">
        <f t="shared" ca="1" si="139"/>
        <v>43578.5</v>
      </c>
      <c r="J271" s="142">
        <f t="shared" ca="1" si="140"/>
        <v>53370.588950000005</v>
      </c>
      <c r="K271" s="149"/>
    </row>
    <row r="272" spans="1:32" s="151" customFormat="1" ht="30" x14ac:dyDescent="0.25">
      <c r="A272" s="141" t="s">
        <v>93</v>
      </c>
      <c r="B272" s="74" t="s">
        <v>755</v>
      </c>
      <c r="C272" s="69" t="s">
        <v>17</v>
      </c>
      <c r="D272" s="33" t="s">
        <v>756</v>
      </c>
      <c r="E272" s="69" t="s">
        <v>474</v>
      </c>
      <c r="F272" s="70">
        <f>MC!J361</f>
        <v>1</v>
      </c>
      <c r="G272" s="76">
        <v>167.26</v>
      </c>
      <c r="H272" s="73">
        <f t="shared" si="138"/>
        <v>204.84332199999997</v>
      </c>
      <c r="I272" s="77">
        <f t="shared" si="139"/>
        <v>167.26</v>
      </c>
      <c r="J272" s="142">
        <f t="shared" si="140"/>
        <v>204.84332199999997</v>
      </c>
      <c r="K272" s="149"/>
    </row>
    <row r="273" spans="1:14" s="151" customFormat="1" ht="30" x14ac:dyDescent="0.25">
      <c r="A273" s="141" t="s">
        <v>226</v>
      </c>
      <c r="B273" s="33" t="s">
        <v>987</v>
      </c>
      <c r="C273" s="69" t="s">
        <v>156</v>
      </c>
      <c r="D273" s="33" t="s">
        <v>757</v>
      </c>
      <c r="E273" s="69" t="s">
        <v>474</v>
      </c>
      <c r="F273" s="70">
        <f>MC!J364</f>
        <v>2</v>
      </c>
      <c r="G273" s="76">
        <f>CPU!H291</f>
        <v>122.75</v>
      </c>
      <c r="H273" s="73">
        <f t="shared" si="138"/>
        <v>150.33192499999998</v>
      </c>
      <c r="I273" s="77">
        <f t="shared" si="139"/>
        <v>245.5</v>
      </c>
      <c r="J273" s="142">
        <f t="shared" si="140"/>
        <v>300.66384999999997</v>
      </c>
      <c r="K273" s="149"/>
    </row>
    <row r="274" spans="1:14" s="151" customFormat="1" ht="45" x14ac:dyDescent="0.25">
      <c r="A274" s="141" t="s">
        <v>283</v>
      </c>
      <c r="B274" s="33">
        <v>90852</v>
      </c>
      <c r="C274" s="69" t="s">
        <v>17</v>
      </c>
      <c r="D274" s="33" t="s">
        <v>781</v>
      </c>
      <c r="E274" s="69" t="s">
        <v>474</v>
      </c>
      <c r="F274" s="70">
        <v>1</v>
      </c>
      <c r="G274" s="76">
        <v>1175.83</v>
      </c>
      <c r="H274" s="73">
        <f t="shared" si="138"/>
        <v>1440.0390009999999</v>
      </c>
      <c r="I274" s="77">
        <f t="shared" si="139"/>
        <v>1175.83</v>
      </c>
      <c r="J274" s="142">
        <f t="shared" si="140"/>
        <v>1440.0390009999999</v>
      </c>
      <c r="K274" s="149"/>
    </row>
    <row r="275" spans="1:14" s="151" customFormat="1" ht="30" x14ac:dyDescent="0.25">
      <c r="A275" s="141" t="s">
        <v>284</v>
      </c>
      <c r="B275" s="33">
        <v>102218</v>
      </c>
      <c r="C275" s="69" t="s">
        <v>17</v>
      </c>
      <c r="D275" s="33" t="s">
        <v>782</v>
      </c>
      <c r="E275" s="69" t="s">
        <v>474</v>
      </c>
      <c r="F275" s="70">
        <f>MC!J370</f>
        <v>5.67</v>
      </c>
      <c r="G275" s="76">
        <v>17.510000000000002</v>
      </c>
      <c r="H275" s="73">
        <f t="shared" si="138"/>
        <v>21.444497000000002</v>
      </c>
      <c r="I275" s="77">
        <f t="shared" si="139"/>
        <v>99.281700000000001</v>
      </c>
      <c r="J275" s="142">
        <f t="shared" si="140"/>
        <v>121.59029799000001</v>
      </c>
      <c r="K275" s="149"/>
    </row>
    <row r="276" spans="1:14" s="151" customFormat="1" x14ac:dyDescent="0.25">
      <c r="A276" s="141" t="s">
        <v>285</v>
      </c>
      <c r="B276" s="33">
        <v>22025</v>
      </c>
      <c r="C276" s="69" t="s">
        <v>790</v>
      </c>
      <c r="D276" s="33" t="s">
        <v>791</v>
      </c>
      <c r="E276" s="69" t="s">
        <v>107</v>
      </c>
      <c r="F276" s="70">
        <f>MC!J373</f>
        <v>11</v>
      </c>
      <c r="G276" s="76">
        <v>7</v>
      </c>
      <c r="H276" s="73">
        <f t="shared" si="138"/>
        <v>8.5728999999999989</v>
      </c>
      <c r="I276" s="77">
        <f t="shared" si="139"/>
        <v>77</v>
      </c>
      <c r="J276" s="142">
        <f t="shared" si="140"/>
        <v>94.301899999999989</v>
      </c>
      <c r="K276" s="149"/>
    </row>
    <row r="277" spans="1:14" s="151" customFormat="1" x14ac:dyDescent="0.25">
      <c r="A277" s="141" t="s">
        <v>789</v>
      </c>
      <c r="B277" s="33">
        <v>23453</v>
      </c>
      <c r="C277" s="69" t="s">
        <v>790</v>
      </c>
      <c r="D277" s="33" t="s">
        <v>792</v>
      </c>
      <c r="E277" s="69" t="s">
        <v>474</v>
      </c>
      <c r="F277" s="70">
        <f>MC!J376</f>
        <v>11</v>
      </c>
      <c r="G277" s="76">
        <v>43.14</v>
      </c>
      <c r="H277" s="73">
        <f t="shared" si="138"/>
        <v>52.833557999999996</v>
      </c>
      <c r="I277" s="77">
        <f t="shared" si="139"/>
        <v>474.54</v>
      </c>
      <c r="J277" s="142">
        <f t="shared" si="140"/>
        <v>581.16913799999998</v>
      </c>
      <c r="K277" s="149"/>
    </row>
    <row r="278" spans="1:14" s="151" customFormat="1" collapsed="1" x14ac:dyDescent="0.25">
      <c r="A278" s="163"/>
      <c r="B278" s="164"/>
      <c r="C278" s="164"/>
      <c r="D278" s="164"/>
      <c r="E278" s="164"/>
      <c r="F278" s="164"/>
      <c r="G278" s="164"/>
      <c r="H278" s="164"/>
      <c r="I278" s="164"/>
      <c r="J278" s="165"/>
      <c r="K278" s="149"/>
    </row>
    <row r="279" spans="1:14" s="3" customFormat="1" x14ac:dyDescent="0.25">
      <c r="A279" s="140">
        <v>13</v>
      </c>
      <c r="B279" s="5"/>
      <c r="C279" s="5"/>
      <c r="D279" s="5" t="s">
        <v>21</v>
      </c>
      <c r="E279" s="5"/>
      <c r="F279" s="6"/>
      <c r="G279" s="7"/>
      <c r="H279" s="7"/>
      <c r="I279" s="4">
        <f>SUM(I280:I283)</f>
        <v>37642.053187000005</v>
      </c>
      <c r="J279" s="4">
        <f>SUM(J280:J283)</f>
        <v>46100.222538118891</v>
      </c>
      <c r="K279" s="90"/>
      <c r="N279" s="57"/>
    </row>
    <row r="280" spans="1:14" s="151" customFormat="1" ht="30" x14ac:dyDescent="0.25">
      <c r="A280" s="141" t="s">
        <v>94</v>
      </c>
      <c r="B280" s="69" t="s">
        <v>22</v>
      </c>
      <c r="C280" s="69" t="s">
        <v>6</v>
      </c>
      <c r="D280" s="33" t="s">
        <v>25</v>
      </c>
      <c r="E280" s="69" t="s">
        <v>107</v>
      </c>
      <c r="F280" s="70">
        <f>MC!$J$380</f>
        <v>3.3150999999999997</v>
      </c>
      <c r="G280" s="76">
        <v>30.41</v>
      </c>
      <c r="H280" s="73">
        <f t="shared" ref="H280" si="141">G280*(1+$J$2)</f>
        <v>37.243126999999994</v>
      </c>
      <c r="I280" s="77">
        <f>G280*F280</f>
        <v>100.812191</v>
      </c>
      <c r="J280" s="142">
        <f t="shared" ref="J280" si="142">H280*F280</f>
        <v>123.46469031769998</v>
      </c>
      <c r="K280" s="149"/>
    </row>
    <row r="281" spans="1:14" s="151" customFormat="1" ht="30" x14ac:dyDescent="0.25">
      <c r="A281" s="141" t="s">
        <v>95</v>
      </c>
      <c r="B281" s="69" t="s">
        <v>23</v>
      </c>
      <c r="C281" s="69" t="s">
        <v>6</v>
      </c>
      <c r="D281" s="33" t="s">
        <v>24</v>
      </c>
      <c r="E281" s="69" t="s">
        <v>107</v>
      </c>
      <c r="F281" s="70">
        <f>MC!$J$388</f>
        <v>1172.575</v>
      </c>
      <c r="G281" s="62">
        <v>17.77</v>
      </c>
      <c r="H281" s="73">
        <f t="shared" ref="H281:H283" si="143">G281*(1+$J$2)</f>
        <v>21.762918999999997</v>
      </c>
      <c r="I281" s="77">
        <f t="shared" ref="I281:I283" si="144">G281*F281</f>
        <v>20836.657750000002</v>
      </c>
      <c r="J281" s="142">
        <f t="shared" ref="J281:J283" si="145">H281*F281</f>
        <v>25518.654746424996</v>
      </c>
      <c r="K281" s="149"/>
    </row>
    <row r="282" spans="1:14" s="151" customFormat="1" ht="30" x14ac:dyDescent="0.25">
      <c r="A282" s="141" t="s">
        <v>96</v>
      </c>
      <c r="B282" s="69" t="s">
        <v>26</v>
      </c>
      <c r="C282" s="69" t="s">
        <v>6</v>
      </c>
      <c r="D282" s="33" t="s">
        <v>27</v>
      </c>
      <c r="E282" s="69" t="s">
        <v>107</v>
      </c>
      <c r="F282" s="70">
        <f>MC!$J$407</f>
        <v>3.3150999999999997</v>
      </c>
      <c r="G282" s="76">
        <v>18.46</v>
      </c>
      <c r="H282" s="73">
        <f t="shared" si="143"/>
        <v>22.607962000000001</v>
      </c>
      <c r="I282" s="77">
        <f t="shared" si="144"/>
        <v>61.196745999999997</v>
      </c>
      <c r="J282" s="142">
        <f t="shared" si="145"/>
        <v>74.947654826199994</v>
      </c>
      <c r="K282" s="149"/>
    </row>
    <row r="283" spans="1:14" s="151" customFormat="1" ht="30" x14ac:dyDescent="0.25">
      <c r="A283" s="141" t="s">
        <v>97</v>
      </c>
      <c r="B283" s="69" t="s">
        <v>668</v>
      </c>
      <c r="C283" s="69" t="s">
        <v>6</v>
      </c>
      <c r="D283" s="33" t="s">
        <v>28</v>
      </c>
      <c r="E283" s="69" t="s">
        <v>107</v>
      </c>
      <c r="F283" s="70">
        <f>MC!$J$415</f>
        <v>992.45</v>
      </c>
      <c r="G283" s="76">
        <v>16.77</v>
      </c>
      <c r="H283" s="73">
        <f t="shared" si="143"/>
        <v>20.538218999999998</v>
      </c>
      <c r="I283" s="77">
        <f t="shared" si="144"/>
        <v>16643.386500000001</v>
      </c>
      <c r="J283" s="142">
        <f t="shared" si="145"/>
        <v>20383.155446549998</v>
      </c>
      <c r="K283" s="149"/>
    </row>
    <row r="284" spans="1:14" s="151" customFormat="1" x14ac:dyDescent="0.25">
      <c r="A284" s="163"/>
      <c r="B284" s="164"/>
      <c r="C284" s="164"/>
      <c r="D284" s="164"/>
      <c r="E284" s="164"/>
      <c r="F284" s="164"/>
      <c r="G284" s="164"/>
      <c r="H284" s="164"/>
      <c r="I284" s="164"/>
      <c r="J284" s="165"/>
      <c r="K284" s="149"/>
    </row>
    <row r="285" spans="1:14" s="3" customFormat="1" x14ac:dyDescent="0.25">
      <c r="A285" s="140">
        <v>14</v>
      </c>
      <c r="B285" s="5"/>
      <c r="C285" s="5"/>
      <c r="D285" s="5" t="s">
        <v>174</v>
      </c>
      <c r="E285" s="5"/>
      <c r="F285" s="6"/>
      <c r="G285" s="7"/>
      <c r="H285" s="7"/>
      <c r="I285" s="4">
        <f ca="1">SUM(I286:I286)</f>
        <v>14214.001642776</v>
      </c>
      <c r="J285" s="4">
        <f ca="1">SUM(J286:J286)</f>
        <v>17407.887811907764</v>
      </c>
      <c r="K285" s="90"/>
      <c r="N285" s="57"/>
    </row>
    <row r="286" spans="1:14" s="151" customFormat="1" ht="30" x14ac:dyDescent="0.25">
      <c r="A286" s="141" t="s">
        <v>557</v>
      </c>
      <c r="B286" s="33" t="s">
        <v>988</v>
      </c>
      <c r="C286" s="78" t="s">
        <v>156</v>
      </c>
      <c r="D286" s="33" t="s">
        <v>793</v>
      </c>
      <c r="E286" s="69" t="s">
        <v>144</v>
      </c>
      <c r="F286" s="70">
        <f>MC!J435</f>
        <v>9</v>
      </c>
      <c r="G286" s="71">
        <f ca="1">CPU!H296</f>
        <v>1579.333515864</v>
      </c>
      <c r="H286" s="73">
        <f t="shared" ref="H286" ca="1" si="146">G286*(1+$J$2)</f>
        <v>1934.2097568786405</v>
      </c>
      <c r="I286" s="77">
        <f ca="1">G286*F286</f>
        <v>14214.001642776</v>
      </c>
      <c r="J286" s="142">
        <f t="shared" ref="J286" ca="1" si="147">H286*F286</f>
        <v>17407.887811907764</v>
      </c>
      <c r="K286" s="149"/>
    </row>
    <row r="287" spans="1:14" s="151" customFormat="1" x14ac:dyDescent="0.25">
      <c r="A287" s="163"/>
      <c r="B287" s="164"/>
      <c r="C287" s="164"/>
      <c r="D287" s="164"/>
      <c r="E287" s="164"/>
      <c r="F287" s="164"/>
      <c r="G287" s="164"/>
      <c r="H287" s="164"/>
      <c r="I287" s="164"/>
      <c r="J287" s="165"/>
      <c r="K287" s="149"/>
    </row>
    <row r="288" spans="1:14" s="3" customFormat="1" x14ac:dyDescent="0.25">
      <c r="A288" s="140">
        <v>15</v>
      </c>
      <c r="B288" s="5"/>
      <c r="C288" s="5"/>
      <c r="D288" s="5" t="s">
        <v>568</v>
      </c>
      <c r="E288" s="5"/>
      <c r="F288" s="6"/>
      <c r="G288" s="7"/>
      <c r="H288" s="4"/>
      <c r="I288" s="4">
        <f ca="1">SUM(I289:I309)</f>
        <v>38658.380000000005</v>
      </c>
      <c r="J288" s="4">
        <f ca="1">SUM(J289:J309)</f>
        <v>47344.917986</v>
      </c>
      <c r="K288" s="90"/>
      <c r="N288" s="57"/>
    </row>
    <row r="289" spans="1:11" s="151" customFormat="1" ht="30" x14ac:dyDescent="0.25">
      <c r="A289" s="141" t="s">
        <v>227</v>
      </c>
      <c r="B289" s="78" t="str">
        <f>'COT.'!A98</f>
        <v>COT-17</v>
      </c>
      <c r="C289" s="69" t="s">
        <v>156</v>
      </c>
      <c r="D289" s="33" t="s">
        <v>357</v>
      </c>
      <c r="E289" s="69" t="s">
        <v>144</v>
      </c>
      <c r="F289" s="70">
        <f>MC!$J$445</f>
        <v>1</v>
      </c>
      <c r="G289" s="76">
        <f ca="1">'COT.'!$E$98</f>
        <v>837.67</v>
      </c>
      <c r="H289" s="73">
        <f t="shared" ref="H289" ca="1" si="148">G289*(1+$J$2)</f>
        <v>1025.8944489999999</v>
      </c>
      <c r="I289" s="77">
        <f ca="1">G289*F289</f>
        <v>837.67</v>
      </c>
      <c r="J289" s="142">
        <f t="shared" ref="J289" ca="1" si="149">H289*F289</f>
        <v>1025.8944489999999</v>
      </c>
      <c r="K289" s="149"/>
    </row>
    <row r="290" spans="1:11" s="151" customFormat="1" ht="30" x14ac:dyDescent="0.25">
      <c r="A290" s="141" t="s">
        <v>228</v>
      </c>
      <c r="B290" s="78" t="str">
        <f>'COT.'!A104</f>
        <v>COT-18</v>
      </c>
      <c r="C290" s="69" t="s">
        <v>156</v>
      </c>
      <c r="D290" s="33" t="s">
        <v>358</v>
      </c>
      <c r="E290" s="69" t="s">
        <v>144</v>
      </c>
      <c r="F290" s="70">
        <f>MC!$J$448</f>
        <v>1</v>
      </c>
      <c r="G290" s="76">
        <f ca="1">'COT.'!$E$104</f>
        <v>837.67</v>
      </c>
      <c r="H290" s="73">
        <f t="shared" ref="H290:H309" ca="1" si="150">G290*(1+$J$2)</f>
        <v>1025.8944489999999</v>
      </c>
      <c r="I290" s="77">
        <f t="shared" ref="I290:I309" ca="1" si="151">G290*F290</f>
        <v>837.67</v>
      </c>
      <c r="J290" s="142">
        <f t="shared" ref="J290:J309" ca="1" si="152">H290*F290</f>
        <v>1025.8944489999999</v>
      </c>
      <c r="K290" s="149"/>
    </row>
    <row r="291" spans="1:11" s="151" customFormat="1" ht="30" x14ac:dyDescent="0.25">
      <c r="A291" s="141" t="s">
        <v>229</v>
      </c>
      <c r="B291" s="78" t="str">
        <f>'COT.'!A110</f>
        <v>COT-19</v>
      </c>
      <c r="C291" s="78" t="s">
        <v>156</v>
      </c>
      <c r="D291" s="33" t="s">
        <v>359</v>
      </c>
      <c r="E291" s="69" t="s">
        <v>144</v>
      </c>
      <c r="F291" s="70">
        <f>MC!$J$451</f>
        <v>1</v>
      </c>
      <c r="G291" s="76">
        <f ca="1">'COT.'!$E$110</f>
        <v>865.5</v>
      </c>
      <c r="H291" s="73">
        <f t="shared" ca="1" si="150"/>
        <v>1059.97785</v>
      </c>
      <c r="I291" s="77">
        <f t="shared" ca="1" si="151"/>
        <v>865.5</v>
      </c>
      <c r="J291" s="142">
        <f t="shared" ca="1" si="152"/>
        <v>1059.97785</v>
      </c>
      <c r="K291" s="149"/>
    </row>
    <row r="292" spans="1:11" s="151" customFormat="1" ht="30" x14ac:dyDescent="0.25">
      <c r="A292" s="141" t="s">
        <v>230</v>
      </c>
      <c r="B292" s="78" t="str">
        <f>'COT.'!A116</f>
        <v>COT-20</v>
      </c>
      <c r="C292" s="69" t="s">
        <v>156</v>
      </c>
      <c r="D292" s="33" t="s">
        <v>844</v>
      </c>
      <c r="E292" s="69" t="s">
        <v>144</v>
      </c>
      <c r="F292" s="70">
        <f>MC!$J$454</f>
        <v>1</v>
      </c>
      <c r="G292" s="76">
        <f ca="1">'COT.'!$E$116</f>
        <v>494.58</v>
      </c>
      <c r="H292" s="73">
        <f t="shared" ca="1" si="150"/>
        <v>605.7121259999999</v>
      </c>
      <c r="I292" s="77">
        <f t="shared" ca="1" si="151"/>
        <v>494.58</v>
      </c>
      <c r="J292" s="142">
        <f t="shared" ca="1" si="152"/>
        <v>605.7121259999999</v>
      </c>
      <c r="K292" s="149"/>
    </row>
    <row r="293" spans="1:11" s="151" customFormat="1" ht="30" x14ac:dyDescent="0.25">
      <c r="A293" s="141" t="s">
        <v>231</v>
      </c>
      <c r="B293" s="78" t="str">
        <f>'COT.'!A122</f>
        <v>COT-21</v>
      </c>
      <c r="C293" s="69" t="s">
        <v>156</v>
      </c>
      <c r="D293" s="33" t="s">
        <v>845</v>
      </c>
      <c r="E293" s="69" t="s">
        <v>144</v>
      </c>
      <c r="F293" s="70">
        <f>MC!$J$457</f>
        <v>1</v>
      </c>
      <c r="G293" s="76">
        <f ca="1">'COT.'!$E$122</f>
        <v>671.66</v>
      </c>
      <c r="H293" s="73">
        <f t="shared" ca="1" si="150"/>
        <v>822.58200199999987</v>
      </c>
      <c r="I293" s="77">
        <f t="shared" ca="1" si="151"/>
        <v>671.66</v>
      </c>
      <c r="J293" s="142">
        <f t="shared" ca="1" si="152"/>
        <v>822.58200199999987</v>
      </c>
      <c r="K293" s="149"/>
    </row>
    <row r="294" spans="1:11" s="151" customFormat="1" ht="30" x14ac:dyDescent="0.25">
      <c r="A294" s="141" t="s">
        <v>232</v>
      </c>
      <c r="B294" s="78" t="str">
        <f>'COT.'!A128</f>
        <v>COT-22</v>
      </c>
      <c r="C294" s="69" t="s">
        <v>156</v>
      </c>
      <c r="D294" s="33" t="s">
        <v>846</v>
      </c>
      <c r="E294" s="69" t="s">
        <v>144</v>
      </c>
      <c r="F294" s="70">
        <f>MC!$J$460</f>
        <v>1</v>
      </c>
      <c r="G294" s="76">
        <f ca="1">'COT.'!$E$128</f>
        <v>757.16</v>
      </c>
      <c r="H294" s="73">
        <f t="shared" ca="1" si="150"/>
        <v>927.2938519999999</v>
      </c>
      <c r="I294" s="77">
        <f t="shared" ca="1" si="151"/>
        <v>757.16</v>
      </c>
      <c r="J294" s="142">
        <f t="shared" ca="1" si="152"/>
        <v>927.2938519999999</v>
      </c>
      <c r="K294" s="149"/>
    </row>
    <row r="295" spans="1:11" s="151" customFormat="1" ht="30" x14ac:dyDescent="0.25">
      <c r="A295" s="141" t="s">
        <v>233</v>
      </c>
      <c r="B295" s="78" t="str">
        <f>'COT.'!A134</f>
        <v>COT-23</v>
      </c>
      <c r="C295" s="69" t="s">
        <v>156</v>
      </c>
      <c r="D295" s="33" t="s">
        <v>847</v>
      </c>
      <c r="E295" s="69" t="s">
        <v>144</v>
      </c>
      <c r="F295" s="70">
        <f>MC!$J$460</f>
        <v>1</v>
      </c>
      <c r="G295" s="76">
        <f ca="1">'COT.'!$E$134</f>
        <v>781.57</v>
      </c>
      <c r="H295" s="73">
        <f t="shared" ca="1" si="150"/>
        <v>957.18877899999995</v>
      </c>
      <c r="I295" s="77">
        <f t="shared" ca="1" si="151"/>
        <v>781.57</v>
      </c>
      <c r="J295" s="142">
        <f t="shared" ca="1" si="152"/>
        <v>957.18877899999995</v>
      </c>
      <c r="K295" s="149"/>
    </row>
    <row r="296" spans="1:11" s="151" customFormat="1" ht="30" x14ac:dyDescent="0.25">
      <c r="A296" s="141" t="s">
        <v>234</v>
      </c>
      <c r="B296" s="78" t="str">
        <f>'COT.'!A140</f>
        <v>COT-24</v>
      </c>
      <c r="C296" s="78" t="s">
        <v>156</v>
      </c>
      <c r="D296" s="33" t="s">
        <v>848</v>
      </c>
      <c r="E296" s="69" t="s">
        <v>144</v>
      </c>
      <c r="F296" s="70">
        <f>MC!$J$460</f>
        <v>1</v>
      </c>
      <c r="G296" s="76">
        <f ca="1">'COT.'!$E$140</f>
        <v>793.78</v>
      </c>
      <c r="H296" s="73">
        <f t="shared" ca="1" si="150"/>
        <v>972.14236599999992</v>
      </c>
      <c r="I296" s="77">
        <f t="shared" ca="1" si="151"/>
        <v>793.78</v>
      </c>
      <c r="J296" s="142">
        <f t="shared" ca="1" si="152"/>
        <v>972.14236599999992</v>
      </c>
      <c r="K296" s="149"/>
    </row>
    <row r="297" spans="1:11" s="151" customFormat="1" ht="30" x14ac:dyDescent="0.25">
      <c r="A297" s="141" t="s">
        <v>235</v>
      </c>
      <c r="B297" s="78" t="str">
        <f>'COT.'!A146</f>
        <v>COT-25</v>
      </c>
      <c r="C297" s="69" t="s">
        <v>156</v>
      </c>
      <c r="D297" s="33" t="s">
        <v>849</v>
      </c>
      <c r="E297" s="69" t="s">
        <v>144</v>
      </c>
      <c r="F297" s="70">
        <f>MC!$J$460</f>
        <v>1</v>
      </c>
      <c r="G297" s="76">
        <f ca="1">'COT.'!$E$146</f>
        <v>549.54</v>
      </c>
      <c r="H297" s="73">
        <f t="shared" ca="1" si="150"/>
        <v>673.02163799999994</v>
      </c>
      <c r="I297" s="77">
        <f t="shared" ca="1" si="151"/>
        <v>549.54</v>
      </c>
      <c r="J297" s="142">
        <f t="shared" ca="1" si="152"/>
        <v>673.02163799999994</v>
      </c>
      <c r="K297" s="149"/>
    </row>
    <row r="298" spans="1:11" s="151" customFormat="1" ht="30" x14ac:dyDescent="0.25">
      <c r="A298" s="141" t="s">
        <v>236</v>
      </c>
      <c r="B298" s="78" t="str">
        <f>'COT.'!A152</f>
        <v>COT-26</v>
      </c>
      <c r="C298" s="69" t="s">
        <v>156</v>
      </c>
      <c r="D298" s="33" t="s">
        <v>850</v>
      </c>
      <c r="E298" s="69" t="s">
        <v>144</v>
      </c>
      <c r="F298" s="70">
        <f>MC!$J$460</f>
        <v>1</v>
      </c>
      <c r="G298" s="76">
        <f ca="1">'COT.'!$E$152</f>
        <v>793.78</v>
      </c>
      <c r="H298" s="73">
        <f t="shared" ca="1" si="150"/>
        <v>972.14236599999992</v>
      </c>
      <c r="I298" s="77">
        <f t="shared" ca="1" si="151"/>
        <v>793.78</v>
      </c>
      <c r="J298" s="142">
        <f t="shared" ca="1" si="152"/>
        <v>972.14236599999992</v>
      </c>
      <c r="K298" s="149"/>
    </row>
    <row r="299" spans="1:11" s="151" customFormat="1" ht="30" x14ac:dyDescent="0.25">
      <c r="A299" s="141" t="s">
        <v>237</v>
      </c>
      <c r="B299" s="78" t="str">
        <f>'COT.'!A158</f>
        <v>COT-27</v>
      </c>
      <c r="C299" s="69" t="s">
        <v>156</v>
      </c>
      <c r="D299" s="33" t="s">
        <v>851</v>
      </c>
      <c r="E299" s="69" t="s">
        <v>144</v>
      </c>
      <c r="F299" s="70">
        <v>2</v>
      </c>
      <c r="G299" s="76">
        <f ca="1">'COT.'!$E$158</f>
        <v>1270</v>
      </c>
      <c r="H299" s="73">
        <f t="shared" ca="1" si="150"/>
        <v>1555.3689999999999</v>
      </c>
      <c r="I299" s="77">
        <f t="shared" ca="1" si="151"/>
        <v>2540</v>
      </c>
      <c r="J299" s="142">
        <f t="shared" ca="1" si="152"/>
        <v>3110.7379999999998</v>
      </c>
      <c r="K299" s="149"/>
    </row>
    <row r="300" spans="1:11" s="151" customFormat="1" ht="30" x14ac:dyDescent="0.25">
      <c r="A300" s="141" t="s">
        <v>238</v>
      </c>
      <c r="B300" s="78" t="str">
        <f>'COT.'!A164</f>
        <v>COT-28</v>
      </c>
      <c r="C300" s="69" t="s">
        <v>156</v>
      </c>
      <c r="D300" s="33" t="s">
        <v>852</v>
      </c>
      <c r="E300" s="69" t="s">
        <v>144</v>
      </c>
      <c r="F300" s="70">
        <v>1</v>
      </c>
      <c r="G300" s="76">
        <f ca="1">'COT.'!$E$164</f>
        <v>854.84</v>
      </c>
      <c r="H300" s="73">
        <f t="shared" ca="1" si="150"/>
        <v>1046.922548</v>
      </c>
      <c r="I300" s="77">
        <f t="shared" ca="1" si="151"/>
        <v>854.84</v>
      </c>
      <c r="J300" s="142">
        <f t="shared" ca="1" si="152"/>
        <v>1046.922548</v>
      </c>
      <c r="K300" s="149"/>
    </row>
    <row r="301" spans="1:11" s="151" customFormat="1" ht="30" x14ac:dyDescent="0.25">
      <c r="A301" s="141" t="s">
        <v>239</v>
      </c>
      <c r="B301" s="78" t="str">
        <f>'COT.'!A170</f>
        <v>COT-29</v>
      </c>
      <c r="C301" s="69" t="s">
        <v>156</v>
      </c>
      <c r="D301" s="33" t="s">
        <v>858</v>
      </c>
      <c r="E301" s="69" t="s">
        <v>144</v>
      </c>
      <c r="F301" s="70">
        <v>1</v>
      </c>
      <c r="G301" s="76">
        <f ca="1">'COT.'!$E$170</f>
        <v>806</v>
      </c>
      <c r="H301" s="73">
        <f t="shared" ca="1" si="150"/>
        <v>987.1081999999999</v>
      </c>
      <c r="I301" s="77">
        <f t="shared" ca="1" si="151"/>
        <v>806</v>
      </c>
      <c r="J301" s="142">
        <f t="shared" ca="1" si="152"/>
        <v>987.1081999999999</v>
      </c>
      <c r="K301" s="149"/>
    </row>
    <row r="302" spans="1:11" s="151" customFormat="1" ht="30" x14ac:dyDescent="0.25">
      <c r="A302" s="141" t="s">
        <v>240</v>
      </c>
      <c r="B302" s="78" t="str">
        <f>'COT.'!A176</f>
        <v>COT-30</v>
      </c>
      <c r="C302" s="78" t="s">
        <v>156</v>
      </c>
      <c r="D302" s="33" t="s">
        <v>854</v>
      </c>
      <c r="E302" s="69" t="s">
        <v>144</v>
      </c>
      <c r="F302" s="70">
        <v>2</v>
      </c>
      <c r="G302" s="76">
        <f ca="1">'COT.'!$E$176</f>
        <v>960</v>
      </c>
      <c r="H302" s="73">
        <f t="shared" ca="1" si="150"/>
        <v>1175.712</v>
      </c>
      <c r="I302" s="77">
        <f t="shared" ca="1" si="151"/>
        <v>1920</v>
      </c>
      <c r="J302" s="142">
        <f t="shared" ca="1" si="152"/>
        <v>2351.424</v>
      </c>
      <c r="K302" s="149"/>
    </row>
    <row r="303" spans="1:11" s="151" customFormat="1" ht="30" x14ac:dyDescent="0.25">
      <c r="A303" s="141" t="s">
        <v>241</v>
      </c>
      <c r="B303" s="78" t="str">
        <f>'COT.'!A182</f>
        <v>COT-31</v>
      </c>
      <c r="C303" s="69" t="s">
        <v>156</v>
      </c>
      <c r="D303" s="33" t="s">
        <v>855</v>
      </c>
      <c r="E303" s="69" t="s">
        <v>144</v>
      </c>
      <c r="F303" s="70">
        <v>2</v>
      </c>
      <c r="G303" s="76">
        <f ca="1">'COT.'!$E$182</f>
        <v>1000</v>
      </c>
      <c r="H303" s="73">
        <f t="shared" ca="1" si="150"/>
        <v>1224.6999999999998</v>
      </c>
      <c r="I303" s="77">
        <f t="shared" ca="1" si="151"/>
        <v>2000</v>
      </c>
      <c r="J303" s="142">
        <f t="shared" ca="1" si="152"/>
        <v>2449.3999999999996</v>
      </c>
      <c r="K303" s="149"/>
    </row>
    <row r="304" spans="1:11" s="151" customFormat="1" ht="30" x14ac:dyDescent="0.25">
      <c r="A304" s="141" t="s">
        <v>242</v>
      </c>
      <c r="B304" s="78" t="str">
        <f>'COT.'!A188</f>
        <v>COT-32</v>
      </c>
      <c r="C304" s="69" t="s">
        <v>156</v>
      </c>
      <c r="D304" s="33" t="s">
        <v>856</v>
      </c>
      <c r="E304" s="69" t="s">
        <v>144</v>
      </c>
      <c r="F304" s="70">
        <v>2</v>
      </c>
      <c r="G304" s="76">
        <f ca="1">'COT.'!$E$188</f>
        <v>1040</v>
      </c>
      <c r="H304" s="73">
        <f t="shared" ca="1" si="150"/>
        <v>1273.6879999999999</v>
      </c>
      <c r="I304" s="77">
        <f t="shared" ca="1" si="151"/>
        <v>2080</v>
      </c>
      <c r="J304" s="142">
        <f t="shared" ca="1" si="152"/>
        <v>2547.3759999999997</v>
      </c>
      <c r="K304" s="149"/>
    </row>
    <row r="305" spans="1:14" s="151" customFormat="1" ht="30" x14ac:dyDescent="0.25">
      <c r="A305" s="141" t="s">
        <v>558</v>
      </c>
      <c r="B305" s="78" t="str">
        <f>'COT.'!A194</f>
        <v>COT-33</v>
      </c>
      <c r="C305" s="69" t="s">
        <v>156</v>
      </c>
      <c r="D305" s="33" t="s">
        <v>859</v>
      </c>
      <c r="E305" s="69" t="s">
        <v>144</v>
      </c>
      <c r="F305" s="70">
        <v>2</v>
      </c>
      <c r="G305" s="76">
        <f ca="1">'COT.'!$E$194</f>
        <v>1120</v>
      </c>
      <c r="H305" s="73">
        <f t="shared" ca="1" si="150"/>
        <v>1371.664</v>
      </c>
      <c r="I305" s="77">
        <f t="shared" ca="1" si="151"/>
        <v>2240</v>
      </c>
      <c r="J305" s="142">
        <f t="shared" ca="1" si="152"/>
        <v>2743.328</v>
      </c>
      <c r="K305" s="149"/>
    </row>
    <row r="306" spans="1:14" s="151" customFormat="1" x14ac:dyDescent="0.25">
      <c r="A306" s="141" t="s">
        <v>564</v>
      </c>
      <c r="B306" s="69" t="s">
        <v>989</v>
      </c>
      <c r="C306" s="69" t="s">
        <v>156</v>
      </c>
      <c r="D306" s="33" t="s">
        <v>566</v>
      </c>
      <c r="E306" s="70" t="s">
        <v>144</v>
      </c>
      <c r="F306" s="70">
        <f>MC!$J$496</f>
        <v>49</v>
      </c>
      <c r="G306" s="76">
        <f>CPU!H303</f>
        <v>40.82</v>
      </c>
      <c r="H306" s="73">
        <f t="shared" si="150"/>
        <v>49.992253999999996</v>
      </c>
      <c r="I306" s="77">
        <f t="shared" si="151"/>
        <v>2000.18</v>
      </c>
      <c r="J306" s="142">
        <f t="shared" si="152"/>
        <v>2449.6204459999999</v>
      </c>
      <c r="K306" s="149"/>
    </row>
    <row r="307" spans="1:14" s="151" customFormat="1" x14ac:dyDescent="0.25">
      <c r="A307" s="141" t="s">
        <v>565</v>
      </c>
      <c r="B307" s="69" t="s">
        <v>990</v>
      </c>
      <c r="C307" s="69" t="s">
        <v>156</v>
      </c>
      <c r="D307" s="33" t="s">
        <v>567</v>
      </c>
      <c r="E307" s="69" t="s">
        <v>144</v>
      </c>
      <c r="F307" s="70">
        <f>MC!$J$504</f>
        <v>22</v>
      </c>
      <c r="G307" s="71">
        <f>CPU!H306</f>
        <v>40.82</v>
      </c>
      <c r="H307" s="73">
        <f t="shared" si="150"/>
        <v>49.992253999999996</v>
      </c>
      <c r="I307" s="77">
        <f t="shared" si="151"/>
        <v>898.04</v>
      </c>
      <c r="J307" s="142">
        <f t="shared" si="152"/>
        <v>1099.8295879999998</v>
      </c>
      <c r="K307" s="149"/>
    </row>
    <row r="308" spans="1:14" s="151" customFormat="1" ht="30" x14ac:dyDescent="0.25">
      <c r="A308" s="141" t="s">
        <v>716</v>
      </c>
      <c r="B308" s="69" t="s">
        <v>991</v>
      </c>
      <c r="C308" s="69" t="s">
        <v>156</v>
      </c>
      <c r="D308" s="33" t="s">
        <v>764</v>
      </c>
      <c r="E308" s="69" t="s">
        <v>144</v>
      </c>
      <c r="F308" s="70">
        <f>MC!J509</f>
        <v>1</v>
      </c>
      <c r="G308" s="71">
        <f>CPU!G309</f>
        <v>8368.41</v>
      </c>
      <c r="H308" s="73">
        <f t="shared" si="150"/>
        <v>10248.791727</v>
      </c>
      <c r="I308" s="77">
        <f t="shared" si="151"/>
        <v>8368.41</v>
      </c>
      <c r="J308" s="142">
        <f t="shared" si="152"/>
        <v>10248.791727</v>
      </c>
      <c r="K308" s="149"/>
    </row>
    <row r="309" spans="1:14" s="151" customFormat="1" x14ac:dyDescent="0.25">
      <c r="A309" s="141" t="s">
        <v>774</v>
      </c>
      <c r="B309" s="69" t="s">
        <v>992</v>
      </c>
      <c r="C309" s="69" t="s">
        <v>156</v>
      </c>
      <c r="D309" s="33" t="s">
        <v>870</v>
      </c>
      <c r="E309" s="69" t="s">
        <v>144</v>
      </c>
      <c r="F309" s="70">
        <f>MC!J512</f>
        <v>11</v>
      </c>
      <c r="G309" s="71">
        <f>CPU!H313</f>
        <v>688</v>
      </c>
      <c r="H309" s="73">
        <f t="shared" si="150"/>
        <v>842.59359999999992</v>
      </c>
      <c r="I309" s="77">
        <f t="shared" si="151"/>
        <v>7568</v>
      </c>
      <c r="J309" s="142">
        <f t="shared" si="152"/>
        <v>9268.5295999999998</v>
      </c>
      <c r="K309" s="149"/>
    </row>
    <row r="310" spans="1:14" s="151" customFormat="1" x14ac:dyDescent="0.25">
      <c r="A310" s="163"/>
      <c r="B310" s="164"/>
      <c r="C310" s="164"/>
      <c r="D310" s="164"/>
      <c r="E310" s="164"/>
      <c r="F310" s="164"/>
      <c r="G310" s="164"/>
      <c r="H310" s="164"/>
      <c r="I310" s="164"/>
      <c r="J310" s="165"/>
      <c r="K310" s="149"/>
    </row>
    <row r="311" spans="1:14" s="3" customFormat="1" x14ac:dyDescent="0.25">
      <c r="A311" s="140">
        <v>16</v>
      </c>
      <c r="B311" s="5"/>
      <c r="C311" s="5"/>
      <c r="D311" s="5" t="s">
        <v>758</v>
      </c>
      <c r="E311" s="5"/>
      <c r="F311" s="6"/>
      <c r="G311" s="7"/>
      <c r="H311" s="4"/>
      <c r="I311" s="4">
        <f>SUM(I312:I315)</f>
        <v>19747.778750000001</v>
      </c>
      <c r="J311" s="4">
        <f>SUM(J312:J315)</f>
        <v>24185.104635124997</v>
      </c>
      <c r="K311" s="90"/>
      <c r="N311" s="57"/>
    </row>
    <row r="312" spans="1:14" s="151" customFormat="1" x14ac:dyDescent="0.25">
      <c r="A312" s="141" t="s">
        <v>243</v>
      </c>
      <c r="B312" s="69" t="s">
        <v>995</v>
      </c>
      <c r="C312" s="69" t="s">
        <v>156</v>
      </c>
      <c r="D312" s="33" t="s">
        <v>759</v>
      </c>
      <c r="E312" s="69" t="s">
        <v>144</v>
      </c>
      <c r="F312" s="70">
        <f>MC!J523</f>
        <v>23</v>
      </c>
      <c r="G312" s="71">
        <f>CPU!H317</f>
        <v>346.22125</v>
      </c>
      <c r="H312" s="73">
        <f t="shared" ref="H312:H314" si="153">G312*(1+$J$2)</f>
        <v>424.01716487499993</v>
      </c>
      <c r="I312" s="77">
        <f>G312*F312</f>
        <v>7963.0887499999999</v>
      </c>
      <c r="J312" s="142">
        <f t="shared" ref="J312:J314" si="154">H312*F312</f>
        <v>9752.3947921249983</v>
      </c>
      <c r="K312" s="149"/>
    </row>
    <row r="313" spans="1:14" s="151" customFormat="1" ht="30" x14ac:dyDescent="0.25">
      <c r="A313" s="141" t="s">
        <v>244</v>
      </c>
      <c r="B313" s="69" t="s">
        <v>996</v>
      </c>
      <c r="C313" s="69" t="s">
        <v>156</v>
      </c>
      <c r="D313" s="33" t="s">
        <v>869</v>
      </c>
      <c r="E313" s="69" t="s">
        <v>144</v>
      </c>
      <c r="F313" s="70">
        <f>MC!J534</f>
        <v>4</v>
      </c>
      <c r="G313" s="71">
        <f>CPU!H324</f>
        <v>789.76</v>
      </c>
      <c r="H313" s="73">
        <f t="shared" si="153"/>
        <v>967.21907199999987</v>
      </c>
      <c r="I313" s="77">
        <f>G313*F313</f>
        <v>3159.04</v>
      </c>
      <c r="J313" s="142">
        <f t="shared" si="154"/>
        <v>3868.8762879999995</v>
      </c>
      <c r="K313" s="149"/>
    </row>
    <row r="314" spans="1:14" s="151" customFormat="1" x14ac:dyDescent="0.25">
      <c r="A314" s="141" t="s">
        <v>245</v>
      </c>
      <c r="B314" s="69" t="s">
        <v>997</v>
      </c>
      <c r="C314" s="69" t="s">
        <v>156</v>
      </c>
      <c r="D314" s="33" t="s">
        <v>775</v>
      </c>
      <c r="E314" s="69" t="s">
        <v>144</v>
      </c>
      <c r="F314" s="70">
        <f>MC!J537</f>
        <v>110</v>
      </c>
      <c r="G314" s="71">
        <f>CPU!H328</f>
        <v>78.415000000000006</v>
      </c>
      <c r="H314" s="73">
        <f t="shared" si="153"/>
        <v>96.034850500000005</v>
      </c>
      <c r="I314" s="77">
        <f>G314*F314</f>
        <v>8625.6500000000015</v>
      </c>
      <c r="J314" s="142">
        <f t="shared" si="154"/>
        <v>10563.833555000001</v>
      </c>
      <c r="K314" s="149"/>
    </row>
    <row r="315" spans="1:14" s="151" customFormat="1" x14ac:dyDescent="0.25">
      <c r="A315" s="163"/>
      <c r="B315" s="164"/>
      <c r="C315" s="164"/>
      <c r="D315" s="164"/>
      <c r="E315" s="164"/>
      <c r="F315" s="164"/>
      <c r="G315" s="164"/>
      <c r="H315" s="164"/>
      <c r="I315" s="164"/>
      <c r="J315" s="165"/>
      <c r="K315" s="149"/>
    </row>
    <row r="316" spans="1:14" s="3" customFormat="1" x14ac:dyDescent="0.25">
      <c r="A316" s="140">
        <v>17</v>
      </c>
      <c r="B316" s="5"/>
      <c r="C316" s="5"/>
      <c r="D316" s="5" t="s">
        <v>79</v>
      </c>
      <c r="E316" s="5"/>
      <c r="F316" s="6"/>
      <c r="G316" s="7"/>
      <c r="H316" s="4"/>
      <c r="I316" s="4">
        <f ca="1">SUM(I317:I320)</f>
        <v>12503.671548855002</v>
      </c>
      <c r="J316" s="4">
        <f ca="1">SUM(J317:J320)</f>
        <v>15313.246545882717</v>
      </c>
      <c r="K316" s="90"/>
      <c r="N316" s="57"/>
    </row>
    <row r="317" spans="1:14" s="151" customFormat="1" x14ac:dyDescent="0.25">
      <c r="A317" s="141" t="s">
        <v>760</v>
      </c>
      <c r="B317" s="33" t="s">
        <v>1001</v>
      </c>
      <c r="C317" s="33" t="s">
        <v>156</v>
      </c>
      <c r="D317" s="33" t="s">
        <v>38</v>
      </c>
      <c r="E317" s="69" t="s">
        <v>107</v>
      </c>
      <c r="F317" s="70">
        <f>MC!$J$541</f>
        <v>462.87000000000006</v>
      </c>
      <c r="G317" s="64">
        <f ca="1">CPU!H332</f>
        <v>5.7864664999999995</v>
      </c>
      <c r="H317" s="73">
        <f t="shared" ref="H317" ca="1" si="155">G317*(1+$J$2)</f>
        <v>7.086685522549999</v>
      </c>
      <c r="I317" s="77">
        <f ca="1">G317*F317</f>
        <v>2678.3817488550003</v>
      </c>
      <c r="J317" s="142">
        <f t="shared" ref="J317" ca="1" si="156">H317*F317</f>
        <v>3280.2141278227186</v>
      </c>
      <c r="K317" s="149"/>
    </row>
    <row r="318" spans="1:14" s="151" customFormat="1" ht="30" x14ac:dyDescent="0.25">
      <c r="A318" s="141" t="s">
        <v>761</v>
      </c>
      <c r="B318" s="69" t="s">
        <v>32</v>
      </c>
      <c r="C318" s="33" t="s">
        <v>6</v>
      </c>
      <c r="D318" s="33" t="s">
        <v>33</v>
      </c>
      <c r="E318" s="69" t="s">
        <v>175</v>
      </c>
      <c r="F318" s="70">
        <f>5*15</f>
        <v>75</v>
      </c>
      <c r="G318" s="71">
        <v>40.47</v>
      </c>
      <c r="H318" s="73">
        <f t="shared" ref="H318:H320" si="157">G318*(1+$J$2)</f>
        <v>49.563608999999992</v>
      </c>
      <c r="I318" s="77">
        <f t="shared" ref="I318:I320" si="158">G318*F318</f>
        <v>3035.25</v>
      </c>
      <c r="J318" s="142">
        <f t="shared" ref="J318:J320" si="159">H318*F318</f>
        <v>3717.2706749999993</v>
      </c>
      <c r="K318" s="149"/>
    </row>
    <row r="319" spans="1:14" s="151" customFormat="1" x14ac:dyDescent="0.25">
      <c r="A319" s="141" t="s">
        <v>762</v>
      </c>
      <c r="B319" s="69" t="s">
        <v>34</v>
      </c>
      <c r="C319" s="33" t="s">
        <v>6</v>
      </c>
      <c r="D319" s="33" t="s">
        <v>99</v>
      </c>
      <c r="E319" s="69" t="s">
        <v>175</v>
      </c>
      <c r="F319" s="70">
        <v>66</v>
      </c>
      <c r="G319" s="71">
        <v>50</v>
      </c>
      <c r="H319" s="73">
        <f t="shared" si="157"/>
        <v>61.234999999999992</v>
      </c>
      <c r="I319" s="77">
        <f t="shared" si="158"/>
        <v>3300</v>
      </c>
      <c r="J319" s="142">
        <f t="shared" si="159"/>
        <v>4041.5099999999993</v>
      </c>
      <c r="K319" s="149"/>
    </row>
    <row r="320" spans="1:14" s="151" customFormat="1" ht="15.75" thickBot="1" x14ac:dyDescent="0.3">
      <c r="A320" s="141" t="s">
        <v>763</v>
      </c>
      <c r="B320" s="247" t="s">
        <v>36</v>
      </c>
      <c r="C320" s="248" t="s">
        <v>6</v>
      </c>
      <c r="D320" s="248" t="s">
        <v>35</v>
      </c>
      <c r="E320" s="247" t="s">
        <v>107</v>
      </c>
      <c r="F320" s="249">
        <f>MC!$J$566</f>
        <v>462.87000000000006</v>
      </c>
      <c r="G320" s="250">
        <v>7.54</v>
      </c>
      <c r="H320" s="251">
        <f t="shared" si="157"/>
        <v>9.2342379999999995</v>
      </c>
      <c r="I320" s="77">
        <f t="shared" si="158"/>
        <v>3490.0398000000005</v>
      </c>
      <c r="J320" s="252">
        <f t="shared" si="159"/>
        <v>4274.2517430600001</v>
      </c>
      <c r="K320" s="149"/>
      <c r="L320" s="150"/>
    </row>
    <row r="321" spans="1:12" ht="15.75" thickBot="1" x14ac:dyDescent="0.3">
      <c r="A321" s="170"/>
      <c r="B321" s="171"/>
      <c r="C321" s="171"/>
      <c r="D321" s="171"/>
      <c r="E321" s="171"/>
      <c r="F321" s="171"/>
      <c r="G321" s="171"/>
      <c r="H321" s="171"/>
      <c r="I321" s="171"/>
      <c r="J321" s="172"/>
      <c r="L321" s="79"/>
    </row>
    <row r="322" spans="1:12" ht="29.25" customHeight="1" thickBot="1" x14ac:dyDescent="0.3">
      <c r="A322" s="440"/>
      <c r="B322" s="441"/>
      <c r="C322" s="441"/>
      <c r="D322" s="441"/>
      <c r="E322" s="442"/>
      <c r="F322" s="451" t="s">
        <v>667</v>
      </c>
      <c r="G322" s="452"/>
      <c r="H322" s="453"/>
      <c r="I322" s="146">
        <f ca="1">SUM(I316,I288,I285,I279,I266,I245,I240,I184,I60,I56,I43,I38,I25,I14,I10,I311,I128)</f>
        <v>972031.76660537394</v>
      </c>
      <c r="J322" s="146"/>
      <c r="L322" s="79"/>
    </row>
    <row r="323" spans="1:12" ht="29.25" customHeight="1" thickBot="1" x14ac:dyDescent="0.3">
      <c r="A323" s="440"/>
      <c r="B323" s="441"/>
      <c r="C323" s="441"/>
      <c r="D323" s="441"/>
      <c r="E323" s="442"/>
      <c r="F323" s="451" t="s">
        <v>76</v>
      </c>
      <c r="G323" s="452"/>
      <c r="H323" s="453"/>
      <c r="I323" s="146"/>
      <c r="J323" s="146">
        <f ca="1">SUM(J316,J288,J285,J279,J266,J245,J240,J184,J60,J56,J43,J38,J25,J14,J10,J128,J311)</f>
        <v>1190447.3045616013</v>
      </c>
      <c r="L323" s="79"/>
    </row>
    <row r="325" spans="1:12" x14ac:dyDescent="0.25">
      <c r="I325" s="79"/>
    </row>
    <row r="326" spans="1:12" x14ac:dyDescent="0.25">
      <c r="H326" s="79"/>
      <c r="I326" s="79"/>
    </row>
    <row r="327" spans="1:12" x14ac:dyDescent="0.25">
      <c r="I327" s="79"/>
    </row>
  </sheetData>
  <autoFilter ref="B1:B327" xr:uid="{00000000-0001-0000-0000-000000000000}"/>
  <mergeCells count="11">
    <mergeCell ref="A1:J1"/>
    <mergeCell ref="A6:J6"/>
    <mergeCell ref="A323:E323"/>
    <mergeCell ref="A7:J7"/>
    <mergeCell ref="B5:I5"/>
    <mergeCell ref="B4:I4"/>
    <mergeCell ref="B3:I3"/>
    <mergeCell ref="B2:I2"/>
    <mergeCell ref="F323:H323"/>
    <mergeCell ref="A322:E322"/>
    <mergeCell ref="F322:H322"/>
  </mergeCells>
  <phoneticPr fontId="15" type="noConversion"/>
  <conditionalFormatting sqref="B4:B5">
    <cfRule type="expression" dxfId="42" priority="2">
      <formula>B4=""</formula>
    </cfRule>
  </conditionalFormatting>
  <pageMargins left="0.511811024" right="0.511811024" top="0.78740157499999996" bottom="0.78740157499999996" header="0.31496062000000002" footer="0.31496062000000002"/>
  <pageSetup paperSize="9" scale="35" fitToHeight="0" orientation="portrait" r:id="rId1"/>
  <rowBreaks count="2" manualBreakCount="2">
    <brk id="55" max="8" man="1"/>
    <brk id="140" max="8" man="1"/>
  </rowBreaks>
  <colBreaks count="1" manualBreakCount="1">
    <brk id="10"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93CC-30B4-4F79-A8CD-82CDE226B234}">
  <dimension ref="A1:O753"/>
  <sheetViews>
    <sheetView view="pageBreakPreview" zoomScale="70" zoomScaleNormal="70" zoomScaleSheetLayoutView="70" workbookViewId="0">
      <selection sqref="A1:XFD1048576"/>
    </sheetView>
  </sheetViews>
  <sheetFormatPr defaultRowHeight="15" x14ac:dyDescent="0.25"/>
  <cols>
    <col min="1" max="1" width="17" style="37" customWidth="1"/>
    <col min="2" max="2" width="16.7109375" style="37" customWidth="1"/>
    <col min="3" max="3" width="12.140625" style="37" customWidth="1"/>
    <col min="4" max="4" width="11.5703125" style="37" customWidth="1"/>
    <col min="5" max="5" width="13.5703125" style="37" customWidth="1"/>
    <col min="6" max="6" width="12.42578125" style="37" customWidth="1"/>
    <col min="7" max="7" width="9.140625" style="37"/>
    <col min="8" max="8" width="40.85546875" style="37" customWidth="1"/>
    <col min="9" max="9" width="13" style="37" customWidth="1"/>
    <col min="10" max="10" width="15.28515625" style="382" customWidth="1"/>
    <col min="11" max="16384" width="9.140625" style="37"/>
  </cols>
  <sheetData>
    <row r="1" spans="1:14" s="68" customFormat="1" ht="77.25" customHeight="1" thickBot="1" x14ac:dyDescent="0.3">
      <c r="A1" s="465" t="s">
        <v>306</v>
      </c>
      <c r="B1" s="466"/>
      <c r="C1" s="466"/>
      <c r="D1" s="466"/>
      <c r="E1" s="466"/>
      <c r="F1" s="466"/>
      <c r="G1" s="466"/>
      <c r="H1" s="466"/>
      <c r="I1" s="466"/>
      <c r="J1" s="467"/>
      <c r="K1" s="61"/>
      <c r="L1" s="143"/>
      <c r="M1" s="61"/>
      <c r="N1" s="144"/>
    </row>
    <row r="2" spans="1:14" s="68" customFormat="1" ht="18" customHeight="1" x14ac:dyDescent="0.25">
      <c r="A2" s="48" t="s">
        <v>220</v>
      </c>
      <c r="B2" s="450" t="s">
        <v>111</v>
      </c>
      <c r="C2" s="450"/>
      <c r="D2" s="450"/>
      <c r="E2" s="450"/>
      <c r="F2" s="450"/>
      <c r="G2" s="450"/>
      <c r="H2" s="450"/>
      <c r="I2" s="468">
        <f>[4]BDI!$Z$21</f>
        <v>0.22470000000000001</v>
      </c>
      <c r="J2" s="469"/>
      <c r="K2" s="92"/>
      <c r="L2" s="143"/>
      <c r="M2" s="61"/>
      <c r="N2" s="144"/>
    </row>
    <row r="3" spans="1:14" s="68" customFormat="1" ht="17.25" customHeight="1" x14ac:dyDescent="0.25">
      <c r="A3" s="49" t="s">
        <v>221</v>
      </c>
      <c r="B3" s="449" t="s">
        <v>114</v>
      </c>
      <c r="C3" s="449"/>
      <c r="D3" s="449"/>
      <c r="E3" s="449"/>
      <c r="F3" s="449"/>
      <c r="G3" s="449"/>
      <c r="H3" s="449"/>
      <c r="I3" s="470" t="s">
        <v>815</v>
      </c>
      <c r="J3" s="471"/>
      <c r="K3" s="92"/>
      <c r="L3" s="143"/>
      <c r="M3" s="61"/>
      <c r="N3" s="144"/>
    </row>
    <row r="4" spans="1:14" s="68" customFormat="1" ht="18" customHeight="1" thickBot="1" x14ac:dyDescent="0.3">
      <c r="A4" s="50" t="s">
        <v>80</v>
      </c>
      <c r="B4" s="472" t="s">
        <v>867</v>
      </c>
      <c r="C4" s="472"/>
      <c r="D4" s="472"/>
      <c r="E4" s="472"/>
      <c r="F4" s="472"/>
      <c r="G4" s="472"/>
      <c r="H4" s="472"/>
      <c r="I4" s="473" t="str">
        <f>Resumo!D4</f>
        <v>SETEMBRO_2024</v>
      </c>
      <c r="J4" s="474"/>
      <c r="K4" s="92"/>
      <c r="L4" s="143"/>
      <c r="M4" s="61"/>
      <c r="N4" s="144"/>
    </row>
    <row r="5" spans="1:14" s="68" customFormat="1" ht="15.75" thickBot="1" x14ac:dyDescent="0.3">
      <c r="A5" s="475"/>
      <c r="B5" s="476"/>
      <c r="C5" s="476"/>
      <c r="D5" s="476"/>
      <c r="E5" s="476"/>
      <c r="F5" s="476"/>
      <c r="G5" s="476"/>
      <c r="H5" s="476"/>
      <c r="I5" s="476"/>
      <c r="J5" s="477"/>
    </row>
    <row r="6" spans="1:14" s="68" customFormat="1" ht="16.5" thickBot="1" x14ac:dyDescent="0.3">
      <c r="A6" s="371" t="s">
        <v>82</v>
      </c>
      <c r="B6" s="371"/>
      <c r="C6" s="478" t="s">
        <v>83</v>
      </c>
      <c r="D6" s="478"/>
      <c r="E6" s="478"/>
      <c r="F6" s="478"/>
      <c r="G6" s="478"/>
      <c r="H6" s="478"/>
      <c r="I6" s="371" t="s">
        <v>157</v>
      </c>
      <c r="J6" s="372" t="s">
        <v>276</v>
      </c>
    </row>
    <row r="7" spans="1:14" ht="6" customHeight="1" thickBot="1" x14ac:dyDescent="0.3">
      <c r="A7" s="455"/>
      <c r="B7" s="454"/>
      <c r="C7" s="454"/>
      <c r="D7" s="454"/>
      <c r="E7" s="454"/>
      <c r="F7" s="454"/>
      <c r="G7" s="454"/>
      <c r="H7" s="454"/>
      <c r="I7" s="454"/>
      <c r="J7" s="456"/>
    </row>
    <row r="8" spans="1:14" ht="15.75" thickBot="1" x14ac:dyDescent="0.3">
      <c r="A8" s="373">
        <v>1</v>
      </c>
      <c r="B8" s="374"/>
      <c r="C8" s="463" t="str">
        <f>'Orçamento '!$D$10</f>
        <v>ADMINISTRAÇÃO LOCAL DA OBRA</v>
      </c>
      <c r="D8" s="463"/>
      <c r="E8" s="463"/>
      <c r="F8" s="463"/>
      <c r="G8" s="463"/>
      <c r="H8" s="463"/>
      <c r="I8" s="374"/>
      <c r="J8" s="375"/>
    </row>
    <row r="9" spans="1:14" s="120" customFormat="1" x14ac:dyDescent="0.25">
      <c r="A9" s="125" t="s">
        <v>43</v>
      </c>
      <c r="B9" s="126"/>
      <c r="C9" s="462" t="str">
        <f>'Orçamento '!$D$11</f>
        <v xml:space="preserve">ENGENHEIRO CIVIL DE OBRA JUNIOR COM ENCARGOS COMPLEMENTARES </v>
      </c>
      <c r="D9" s="462"/>
      <c r="E9" s="462"/>
      <c r="F9" s="462"/>
      <c r="G9" s="462"/>
      <c r="H9" s="462"/>
      <c r="I9" s="120" t="s">
        <v>3</v>
      </c>
      <c r="J9" s="121">
        <f>J10</f>
        <v>1</v>
      </c>
    </row>
    <row r="10" spans="1:14" ht="30.75" customHeight="1" x14ac:dyDescent="0.25">
      <c r="A10" s="60"/>
      <c r="B10" s="61"/>
      <c r="C10" s="479" t="s">
        <v>689</v>
      </c>
      <c r="D10" s="480"/>
      <c r="E10" s="480"/>
      <c r="F10" s="480"/>
      <c r="G10" s="480"/>
      <c r="H10" s="480"/>
      <c r="I10" s="61" t="s">
        <v>3</v>
      </c>
      <c r="J10" s="376">
        <v>1</v>
      </c>
    </row>
    <row r="11" spans="1:14" x14ac:dyDescent="0.25">
      <c r="A11" s="93"/>
      <c r="C11" s="454"/>
      <c r="D11" s="454"/>
      <c r="E11" s="454"/>
      <c r="F11" s="454"/>
      <c r="G11" s="454"/>
      <c r="H11" s="454"/>
      <c r="J11" s="36"/>
    </row>
    <row r="12" spans="1:14" x14ac:dyDescent="0.25">
      <c r="A12" s="125" t="s">
        <v>44</v>
      </c>
      <c r="B12" s="126"/>
      <c r="C12" s="462" t="str">
        <f>'Orçamento '!$D$12</f>
        <v xml:space="preserve">ENCARREGADO GERAL DE OBRAS COM ENCARGOS COMPLEMENTARES </v>
      </c>
      <c r="D12" s="462"/>
      <c r="E12" s="462"/>
      <c r="F12" s="462"/>
      <c r="G12" s="462"/>
      <c r="H12" s="462"/>
      <c r="I12" s="120" t="s">
        <v>3</v>
      </c>
      <c r="J12" s="121">
        <f>SUM(J13:J13)</f>
        <v>4</v>
      </c>
    </row>
    <row r="13" spans="1:14" x14ac:dyDescent="0.25">
      <c r="A13" s="60"/>
      <c r="B13" s="61"/>
      <c r="C13" s="454" t="s">
        <v>688</v>
      </c>
      <c r="D13" s="454"/>
      <c r="E13" s="454"/>
      <c r="F13" s="454"/>
      <c r="G13" s="454"/>
      <c r="H13" s="454"/>
      <c r="I13" s="37" t="s">
        <v>3</v>
      </c>
      <c r="J13" s="36">
        <v>4</v>
      </c>
    </row>
    <row r="14" spans="1:14" ht="15.75" thickBot="1" x14ac:dyDescent="0.3">
      <c r="A14" s="93"/>
      <c r="C14" s="454"/>
      <c r="D14" s="454"/>
      <c r="E14" s="454"/>
      <c r="F14" s="454"/>
      <c r="G14" s="454"/>
      <c r="H14" s="454"/>
      <c r="J14" s="36"/>
    </row>
    <row r="15" spans="1:14" ht="15.75" thickBot="1" x14ac:dyDescent="0.3">
      <c r="A15" s="373">
        <v>3</v>
      </c>
      <c r="B15" s="374"/>
      <c r="C15" s="463" t="str">
        <f>'Orçamento '!$D$25</f>
        <v>DEMOLIÇÕES E REMOÇÕES</v>
      </c>
      <c r="D15" s="463"/>
      <c r="E15" s="463"/>
      <c r="F15" s="463"/>
      <c r="G15" s="463"/>
      <c r="H15" s="463"/>
      <c r="I15" s="374"/>
      <c r="J15" s="375"/>
    </row>
    <row r="16" spans="1:14" s="120" customFormat="1" ht="43.5" customHeight="1" x14ac:dyDescent="0.25">
      <c r="A16" s="119" t="str">
        <f>'Orçamento '!A26</f>
        <v>3.1</v>
      </c>
      <c r="C16" s="460" t="str">
        <f>'Orçamento '!$D$26</f>
        <v>REMOÇÃO MANUAL DE LUMINÁRIA COMERCIAL, EMBUTIDA OU SOBREPOR, COM REAPROVEITAMENTO, INCLUSIVE AFASTAMENTO E EMPILHAMENTO, EXCLUSIVE TRANSPORTE E RETIRADA DO MATERIAL REMOVIDO NÃO REAPROVEITÁVEL</v>
      </c>
      <c r="D16" s="460"/>
      <c r="E16" s="460"/>
      <c r="F16" s="460"/>
      <c r="G16" s="460"/>
      <c r="H16" s="460"/>
      <c r="I16" s="120" t="s">
        <v>307</v>
      </c>
      <c r="J16" s="121">
        <f>SUM(J17:J30)</f>
        <v>64</v>
      </c>
    </row>
    <row r="17" spans="1:10" x14ac:dyDescent="0.25">
      <c r="A17" s="93"/>
      <c r="C17" s="454" t="s">
        <v>329</v>
      </c>
      <c r="D17" s="454"/>
      <c r="E17" s="454"/>
      <c r="F17" s="454"/>
      <c r="G17" s="454"/>
      <c r="H17" s="454"/>
      <c r="I17" s="37" t="s">
        <v>307</v>
      </c>
      <c r="J17" s="36">
        <v>2</v>
      </c>
    </row>
    <row r="18" spans="1:10" x14ac:dyDescent="0.25">
      <c r="A18" s="93"/>
      <c r="C18" s="454" t="s">
        <v>330</v>
      </c>
      <c r="D18" s="454"/>
      <c r="E18" s="454"/>
      <c r="F18" s="454"/>
      <c r="G18" s="454"/>
      <c r="H18" s="454"/>
      <c r="I18" s="37" t="s">
        <v>307</v>
      </c>
      <c r="J18" s="36">
        <f>2+9</f>
        <v>11</v>
      </c>
    </row>
    <row r="19" spans="1:10" x14ac:dyDescent="0.25">
      <c r="A19" s="93"/>
      <c r="C19" s="454" t="s">
        <v>331</v>
      </c>
      <c r="D19" s="454"/>
      <c r="E19" s="454"/>
      <c r="F19" s="454"/>
      <c r="G19" s="454"/>
      <c r="H19" s="454"/>
      <c r="I19" s="37" t="s">
        <v>307</v>
      </c>
      <c r="J19" s="36">
        <v>6</v>
      </c>
    </row>
    <row r="20" spans="1:10" x14ac:dyDescent="0.25">
      <c r="A20" s="93"/>
      <c r="C20" s="454" t="s">
        <v>332</v>
      </c>
      <c r="D20" s="454"/>
      <c r="E20" s="454"/>
      <c r="F20" s="454"/>
      <c r="G20" s="454"/>
      <c r="H20" s="454"/>
      <c r="I20" s="37" t="s">
        <v>307</v>
      </c>
      <c r="J20" s="36">
        <v>4</v>
      </c>
    </row>
    <row r="21" spans="1:10" x14ac:dyDescent="0.25">
      <c r="A21" s="93"/>
      <c r="C21" s="454" t="s">
        <v>333</v>
      </c>
      <c r="D21" s="454"/>
      <c r="E21" s="454"/>
      <c r="F21" s="454"/>
      <c r="G21" s="454"/>
      <c r="H21" s="454"/>
      <c r="I21" s="37" t="s">
        <v>307</v>
      </c>
      <c r="J21" s="36">
        <v>4</v>
      </c>
    </row>
    <row r="22" spans="1:10" x14ac:dyDescent="0.25">
      <c r="A22" s="93"/>
      <c r="C22" s="454" t="s">
        <v>334</v>
      </c>
      <c r="D22" s="454"/>
      <c r="E22" s="454"/>
      <c r="F22" s="454"/>
      <c r="G22" s="454"/>
      <c r="H22" s="454"/>
      <c r="I22" s="37" t="s">
        <v>307</v>
      </c>
      <c r="J22" s="36">
        <v>2</v>
      </c>
    </row>
    <row r="23" spans="1:10" x14ac:dyDescent="0.25">
      <c r="A23" s="93"/>
      <c r="C23" s="454" t="s">
        <v>335</v>
      </c>
      <c r="D23" s="454"/>
      <c r="E23" s="454"/>
      <c r="F23" s="454"/>
      <c r="G23" s="454"/>
      <c r="H23" s="454"/>
      <c r="I23" s="37" t="s">
        <v>307</v>
      </c>
      <c r="J23" s="36">
        <v>14</v>
      </c>
    </row>
    <row r="24" spans="1:10" x14ac:dyDescent="0.25">
      <c r="A24" s="93"/>
      <c r="C24" s="454" t="s">
        <v>336</v>
      </c>
      <c r="D24" s="454"/>
      <c r="E24" s="454"/>
      <c r="F24" s="454"/>
      <c r="G24" s="454"/>
      <c r="H24" s="454"/>
      <c r="I24" s="37" t="s">
        <v>307</v>
      </c>
      <c r="J24" s="36">
        <v>3</v>
      </c>
    </row>
    <row r="25" spans="1:10" x14ac:dyDescent="0.25">
      <c r="A25" s="93"/>
      <c r="C25" s="454" t="s">
        <v>337</v>
      </c>
      <c r="D25" s="454"/>
      <c r="E25" s="454"/>
      <c r="F25" s="454"/>
      <c r="G25" s="454"/>
      <c r="H25" s="454"/>
      <c r="I25" s="37" t="s">
        <v>307</v>
      </c>
      <c r="J25" s="36">
        <v>3</v>
      </c>
    </row>
    <row r="26" spans="1:10" x14ac:dyDescent="0.25">
      <c r="A26" s="93"/>
      <c r="C26" s="454" t="s">
        <v>338</v>
      </c>
      <c r="D26" s="454"/>
      <c r="E26" s="454"/>
      <c r="F26" s="454"/>
      <c r="G26" s="454"/>
      <c r="H26" s="454"/>
      <c r="I26" s="37" t="s">
        <v>307</v>
      </c>
      <c r="J26" s="36">
        <v>4</v>
      </c>
    </row>
    <row r="27" spans="1:10" x14ac:dyDescent="0.25">
      <c r="A27" s="93"/>
      <c r="C27" s="454" t="s">
        <v>339</v>
      </c>
      <c r="D27" s="454"/>
      <c r="E27" s="454"/>
      <c r="F27" s="454"/>
      <c r="G27" s="454"/>
      <c r="H27" s="454"/>
      <c r="I27" s="37" t="s">
        <v>307</v>
      </c>
      <c r="J27" s="36">
        <v>4</v>
      </c>
    </row>
    <row r="28" spans="1:10" x14ac:dyDescent="0.25">
      <c r="A28" s="93"/>
      <c r="C28" s="454" t="s">
        <v>340</v>
      </c>
      <c r="D28" s="454"/>
      <c r="E28" s="454"/>
      <c r="F28" s="454"/>
      <c r="G28" s="454"/>
      <c r="H28" s="454"/>
      <c r="I28" s="37" t="s">
        <v>307</v>
      </c>
      <c r="J28" s="36">
        <v>2</v>
      </c>
    </row>
    <row r="29" spans="1:10" x14ac:dyDescent="0.25">
      <c r="A29" s="93"/>
      <c r="C29" s="454" t="s">
        <v>341</v>
      </c>
      <c r="D29" s="454"/>
      <c r="E29" s="454"/>
      <c r="F29" s="454"/>
      <c r="G29" s="454"/>
      <c r="H29" s="454"/>
      <c r="I29" s="37" t="s">
        <v>307</v>
      </c>
      <c r="J29" s="36">
        <v>3</v>
      </c>
    </row>
    <row r="30" spans="1:10" x14ac:dyDescent="0.25">
      <c r="A30" s="93"/>
      <c r="C30" s="454" t="s">
        <v>343</v>
      </c>
      <c r="D30" s="454"/>
      <c r="E30" s="454"/>
      <c r="F30" s="454"/>
      <c r="G30" s="454"/>
      <c r="H30" s="454"/>
      <c r="I30" s="37" t="s">
        <v>307</v>
      </c>
      <c r="J30" s="36">
        <v>2</v>
      </c>
    </row>
    <row r="31" spans="1:10" x14ac:dyDescent="0.25">
      <c r="A31" s="93"/>
      <c r="C31" s="454"/>
      <c r="D31" s="454"/>
      <c r="E31" s="454"/>
      <c r="F31" s="454"/>
      <c r="G31" s="454"/>
      <c r="H31" s="454"/>
      <c r="J31" s="36"/>
    </row>
    <row r="32" spans="1:10" s="120" customFormat="1" x14ac:dyDescent="0.25">
      <c r="A32" s="119" t="str">
        <f>'Orçamento '!$A$27</f>
        <v>3.2</v>
      </c>
      <c r="C32" s="460" t="str">
        <f>'Orçamento '!$D$27</f>
        <v>DEMOLIÇÃO MANUAL DE FORRO DE CHAPA OU PLACA DE GESSO, INCLUSIVE DEMOLIÇÃO DA ESTRUTURA DE SUSTENTAÇÃO, AFASTAMENTO E EMPILHAMENTO, EXCLUSIVE TRANSPORTE E RETIRADA DO MATERIAL DEMOLIDO</v>
      </c>
      <c r="D32" s="460"/>
      <c r="E32" s="460"/>
      <c r="F32" s="460"/>
      <c r="G32" s="460"/>
      <c r="H32" s="460"/>
      <c r="I32" s="120" t="s">
        <v>5</v>
      </c>
      <c r="J32" s="121">
        <f>SUM(J33:J46)</f>
        <v>371.42999999999995</v>
      </c>
    </row>
    <row r="33" spans="1:10" x14ac:dyDescent="0.25">
      <c r="A33" s="93"/>
      <c r="C33" s="454" t="s">
        <v>329</v>
      </c>
      <c r="D33" s="454"/>
      <c r="E33" s="454"/>
      <c r="F33" s="454"/>
      <c r="G33" s="454"/>
      <c r="H33" s="454"/>
      <c r="I33" s="37" t="s">
        <v>5</v>
      </c>
      <c r="J33" s="36">
        <v>13.85</v>
      </c>
    </row>
    <row r="34" spans="1:10" x14ac:dyDescent="0.25">
      <c r="A34" s="93"/>
      <c r="C34" s="454" t="s">
        <v>330</v>
      </c>
      <c r="D34" s="454"/>
      <c r="E34" s="454"/>
      <c r="F34" s="454"/>
      <c r="G34" s="454"/>
      <c r="H34" s="454"/>
      <c r="I34" s="37" t="s">
        <v>5</v>
      </c>
      <c r="J34" s="36">
        <f>50.56</f>
        <v>50.56</v>
      </c>
    </row>
    <row r="35" spans="1:10" x14ac:dyDescent="0.25">
      <c r="A35" s="93"/>
      <c r="C35" s="454" t="s">
        <v>331</v>
      </c>
      <c r="D35" s="454"/>
      <c r="E35" s="454"/>
      <c r="F35" s="454"/>
      <c r="G35" s="454"/>
      <c r="H35" s="454"/>
      <c r="I35" s="37" t="s">
        <v>5</v>
      </c>
      <c r="J35" s="36">
        <v>51.47</v>
      </c>
    </row>
    <row r="36" spans="1:10" x14ac:dyDescent="0.25">
      <c r="A36" s="93"/>
      <c r="C36" s="454" t="s">
        <v>332</v>
      </c>
      <c r="D36" s="454"/>
      <c r="E36" s="454"/>
      <c r="F36" s="454"/>
      <c r="G36" s="454"/>
      <c r="H36" s="454"/>
      <c r="I36" s="37" t="s">
        <v>5</v>
      </c>
      <c r="J36" s="36">
        <v>25.69</v>
      </c>
    </row>
    <row r="37" spans="1:10" x14ac:dyDescent="0.25">
      <c r="A37" s="93"/>
      <c r="C37" s="454" t="s">
        <v>333</v>
      </c>
      <c r="D37" s="454"/>
      <c r="E37" s="454"/>
      <c r="F37" s="454"/>
      <c r="G37" s="454"/>
      <c r="H37" s="454"/>
      <c r="I37" s="37" t="s">
        <v>5</v>
      </c>
      <c r="J37" s="36">
        <v>25.59</v>
      </c>
    </row>
    <row r="38" spans="1:10" x14ac:dyDescent="0.25">
      <c r="A38" s="93"/>
      <c r="C38" s="454" t="s">
        <v>334</v>
      </c>
      <c r="D38" s="454"/>
      <c r="E38" s="454"/>
      <c r="F38" s="454"/>
      <c r="G38" s="454"/>
      <c r="H38" s="454"/>
      <c r="I38" s="37" t="s">
        <v>5</v>
      </c>
      <c r="J38" s="36">
        <v>7.28</v>
      </c>
    </row>
    <row r="39" spans="1:10" x14ac:dyDescent="0.25">
      <c r="A39" s="93"/>
      <c r="C39" s="454" t="s">
        <v>335</v>
      </c>
      <c r="D39" s="454"/>
      <c r="E39" s="454"/>
      <c r="F39" s="454"/>
      <c r="G39" s="454"/>
      <c r="H39" s="454"/>
      <c r="I39" s="37" t="s">
        <v>5</v>
      </c>
      <c r="J39" s="36">
        <v>88.09</v>
      </c>
    </row>
    <row r="40" spans="1:10" x14ac:dyDescent="0.25">
      <c r="A40" s="93"/>
      <c r="C40" s="454" t="s">
        <v>336</v>
      </c>
      <c r="D40" s="454"/>
      <c r="E40" s="454"/>
      <c r="F40" s="454"/>
      <c r="G40" s="454"/>
      <c r="H40" s="454"/>
      <c r="I40" s="37" t="s">
        <v>5</v>
      </c>
      <c r="J40" s="36">
        <v>15.78</v>
      </c>
    </row>
    <row r="41" spans="1:10" x14ac:dyDescent="0.25">
      <c r="A41" s="93"/>
      <c r="C41" s="454" t="s">
        <v>337</v>
      </c>
      <c r="D41" s="454"/>
      <c r="E41" s="454"/>
      <c r="F41" s="454"/>
      <c r="G41" s="454"/>
      <c r="H41" s="454"/>
      <c r="I41" s="37" t="s">
        <v>5</v>
      </c>
      <c r="J41" s="36">
        <v>16.03</v>
      </c>
    </row>
    <row r="42" spans="1:10" x14ac:dyDescent="0.25">
      <c r="A42" s="93"/>
      <c r="C42" s="454" t="s">
        <v>338</v>
      </c>
      <c r="D42" s="454"/>
      <c r="E42" s="454"/>
      <c r="F42" s="454"/>
      <c r="G42" s="454"/>
      <c r="H42" s="454"/>
      <c r="I42" s="37" t="s">
        <v>5</v>
      </c>
      <c r="J42" s="36">
        <v>16.190000000000001</v>
      </c>
    </row>
    <row r="43" spans="1:10" x14ac:dyDescent="0.25">
      <c r="A43" s="93"/>
      <c r="C43" s="454" t="s">
        <v>339</v>
      </c>
      <c r="D43" s="454"/>
      <c r="E43" s="454"/>
      <c r="F43" s="454"/>
      <c r="G43" s="454"/>
      <c r="H43" s="454"/>
      <c r="I43" s="37" t="s">
        <v>5</v>
      </c>
      <c r="J43" s="36">
        <v>16.7</v>
      </c>
    </row>
    <row r="44" spans="1:10" x14ac:dyDescent="0.25">
      <c r="A44" s="93"/>
      <c r="C44" s="454" t="s">
        <v>340</v>
      </c>
      <c r="D44" s="454"/>
      <c r="E44" s="454"/>
      <c r="F44" s="454"/>
      <c r="G44" s="454"/>
      <c r="H44" s="454"/>
      <c r="I44" s="37" t="s">
        <v>5</v>
      </c>
      <c r="J44" s="36">
        <v>8.66</v>
      </c>
    </row>
    <row r="45" spans="1:10" x14ac:dyDescent="0.25">
      <c r="A45" s="93"/>
      <c r="C45" s="454" t="s">
        <v>341</v>
      </c>
      <c r="D45" s="454"/>
      <c r="E45" s="454"/>
      <c r="F45" s="454"/>
      <c r="G45" s="454"/>
      <c r="H45" s="454"/>
      <c r="I45" s="37" t="s">
        <v>5</v>
      </c>
      <c r="J45" s="36">
        <v>25.85</v>
      </c>
    </row>
    <row r="46" spans="1:10" x14ac:dyDescent="0.25">
      <c r="A46" s="93"/>
      <c r="C46" s="454" t="s">
        <v>343</v>
      </c>
      <c r="D46" s="454"/>
      <c r="E46" s="454"/>
      <c r="F46" s="454"/>
      <c r="G46" s="454"/>
      <c r="H46" s="454"/>
      <c r="I46" s="37" t="s">
        <v>5</v>
      </c>
      <c r="J46" s="36">
        <v>9.69</v>
      </c>
    </row>
    <row r="47" spans="1:10" x14ac:dyDescent="0.25">
      <c r="A47" s="93"/>
      <c r="C47" s="454"/>
      <c r="D47" s="454"/>
      <c r="E47" s="454"/>
      <c r="F47" s="454"/>
      <c r="G47" s="454"/>
      <c r="H47" s="454"/>
      <c r="J47" s="36"/>
    </row>
    <row r="48" spans="1:10" s="120" customFormat="1" x14ac:dyDescent="0.25">
      <c r="A48" s="119" t="str">
        <f>'Orçamento '!$A$28</f>
        <v>3.3</v>
      </c>
      <c r="C48" s="460" t="str">
        <f>'Orçamento '!$D$28</f>
        <v>DEMOLIÇÃO MANUAL DE DIVISÓRIA DE DRYWALL, INCLUSIVE AFASTAMENTO E EMPILHAMENTO, EXCLUSIVE TRANSPORTE E RETIRADA DO MATERIAL DEMOLIDO</v>
      </c>
      <c r="D48" s="460"/>
      <c r="E48" s="460"/>
      <c r="F48" s="460"/>
      <c r="G48" s="460"/>
      <c r="H48" s="460"/>
      <c r="I48" s="120" t="s">
        <v>5</v>
      </c>
      <c r="J48" s="121">
        <f>SUM(J49:J60)</f>
        <v>141.73779999999999</v>
      </c>
    </row>
    <row r="49" spans="1:10" x14ac:dyDescent="0.25">
      <c r="A49" s="93"/>
      <c r="C49" s="454" t="s">
        <v>329</v>
      </c>
      <c r="D49" s="454"/>
      <c r="E49" s="454"/>
      <c r="F49" s="454"/>
      <c r="G49" s="454"/>
      <c r="H49" s="454"/>
      <c r="I49" s="37" t="s">
        <v>5</v>
      </c>
      <c r="J49" s="36">
        <f>6.34*2.76+0.48*1.4</f>
        <v>18.170399999999997</v>
      </c>
    </row>
    <row r="50" spans="1:10" x14ac:dyDescent="0.25">
      <c r="A50" s="93"/>
      <c r="C50" s="454" t="s">
        <v>330</v>
      </c>
      <c r="D50" s="454"/>
      <c r="E50" s="454"/>
      <c r="F50" s="454"/>
      <c r="G50" s="454"/>
      <c r="H50" s="454"/>
      <c r="I50" s="37" t="s">
        <v>5</v>
      </c>
      <c r="J50" s="36">
        <f>(4.64+2.38)*2.76</f>
        <v>19.375199999999996</v>
      </c>
    </row>
    <row r="51" spans="1:10" x14ac:dyDescent="0.25">
      <c r="A51" s="93"/>
      <c r="C51" s="454" t="s">
        <v>331</v>
      </c>
      <c r="D51" s="454"/>
      <c r="E51" s="454"/>
      <c r="F51" s="454"/>
      <c r="G51" s="454"/>
      <c r="H51" s="454"/>
      <c r="I51" s="37" t="s">
        <v>5</v>
      </c>
      <c r="J51" s="36">
        <f>(3.69+2.2)*1.6</f>
        <v>9.4240000000000013</v>
      </c>
    </row>
    <row r="52" spans="1:10" x14ac:dyDescent="0.25">
      <c r="A52" s="93"/>
      <c r="C52" s="454" t="s">
        <v>332</v>
      </c>
      <c r="D52" s="454"/>
      <c r="E52" s="454"/>
      <c r="F52" s="454"/>
      <c r="G52" s="454"/>
      <c r="H52" s="454"/>
      <c r="I52" s="37" t="s">
        <v>5</v>
      </c>
      <c r="J52" s="36">
        <f>(2.74*2.78)+((1.93+0.3)*1.6)</f>
        <v>11.1852</v>
      </c>
    </row>
    <row r="53" spans="1:10" x14ac:dyDescent="0.25">
      <c r="A53" s="93"/>
      <c r="C53" s="454" t="s">
        <v>333</v>
      </c>
      <c r="D53" s="454"/>
      <c r="E53" s="454"/>
      <c r="F53" s="454"/>
      <c r="G53" s="454"/>
      <c r="H53" s="454"/>
      <c r="I53" s="37" t="s">
        <v>5</v>
      </c>
      <c r="J53" s="36">
        <f>(2.58+0.3+3.71)*2.78+(1.93+0.31)*1.6</f>
        <v>21.904199999999999</v>
      </c>
    </row>
    <row r="54" spans="1:10" x14ac:dyDescent="0.25">
      <c r="A54" s="93"/>
      <c r="C54" s="454" t="s">
        <v>334</v>
      </c>
      <c r="D54" s="454"/>
      <c r="E54" s="454"/>
      <c r="F54" s="454"/>
      <c r="G54" s="454"/>
      <c r="H54" s="454"/>
      <c r="I54" s="37" t="s">
        <v>5</v>
      </c>
      <c r="J54" s="36">
        <f>(1.14+0.2)*2.78</f>
        <v>3.7251999999999992</v>
      </c>
    </row>
    <row r="55" spans="1:10" x14ac:dyDescent="0.25">
      <c r="A55" s="93"/>
      <c r="C55" s="454" t="s">
        <v>335</v>
      </c>
      <c r="D55" s="454"/>
      <c r="E55" s="454"/>
      <c r="F55" s="454"/>
      <c r="G55" s="454"/>
      <c r="H55" s="454"/>
      <c r="I55" s="37" t="s">
        <v>5</v>
      </c>
      <c r="J55" s="36">
        <f>(0.3+2.62+1.47)*1.6</f>
        <v>7.024</v>
      </c>
    </row>
    <row r="56" spans="1:10" x14ac:dyDescent="0.25">
      <c r="A56" s="93"/>
      <c r="C56" s="454" t="s">
        <v>336</v>
      </c>
      <c r="D56" s="454"/>
      <c r="E56" s="454"/>
      <c r="F56" s="454"/>
      <c r="G56" s="454"/>
      <c r="H56" s="454"/>
      <c r="I56" s="37" t="s">
        <v>5</v>
      </c>
      <c r="J56" s="36">
        <f>2.73*2.78</f>
        <v>7.5893999999999995</v>
      </c>
    </row>
    <row r="57" spans="1:10" x14ac:dyDescent="0.25">
      <c r="A57" s="93"/>
      <c r="C57" s="454" t="s">
        <v>337</v>
      </c>
      <c r="D57" s="454"/>
      <c r="E57" s="454"/>
      <c r="F57" s="454"/>
      <c r="G57" s="454"/>
      <c r="H57" s="454"/>
      <c r="I57" s="37" t="s">
        <v>5</v>
      </c>
      <c r="J57" s="36">
        <f>5.44*2.78</f>
        <v>15.123200000000001</v>
      </c>
    </row>
    <row r="58" spans="1:10" x14ac:dyDescent="0.25">
      <c r="A58" s="93"/>
      <c r="C58" s="454" t="s">
        <v>338</v>
      </c>
      <c r="D58" s="454"/>
      <c r="E58" s="454"/>
      <c r="F58" s="454"/>
      <c r="G58" s="454"/>
      <c r="H58" s="454"/>
      <c r="I58" s="37" t="s">
        <v>5</v>
      </c>
      <c r="J58" s="36">
        <f>4.67*2.78</f>
        <v>12.9826</v>
      </c>
    </row>
    <row r="59" spans="1:10" x14ac:dyDescent="0.25">
      <c r="A59" s="93"/>
      <c r="C59" s="454" t="s">
        <v>339</v>
      </c>
      <c r="D59" s="454"/>
      <c r="E59" s="454"/>
      <c r="F59" s="454"/>
      <c r="G59" s="454"/>
      <c r="H59" s="454"/>
      <c r="I59" s="37" t="s">
        <v>5</v>
      </c>
      <c r="J59" s="36">
        <f>3.47*2.78</f>
        <v>9.6465999999999994</v>
      </c>
    </row>
    <row r="60" spans="1:10" s="120" customFormat="1" ht="15" customHeight="1" x14ac:dyDescent="0.25">
      <c r="A60" s="119"/>
      <c r="C60" s="454" t="s">
        <v>341</v>
      </c>
      <c r="D60" s="454"/>
      <c r="E60" s="454"/>
      <c r="F60" s="454"/>
      <c r="G60" s="454"/>
      <c r="H60" s="454"/>
      <c r="I60" s="37" t="s">
        <v>5</v>
      </c>
      <c r="J60" s="36">
        <f>(1.7+0.31)*2.78</f>
        <v>5.5877999999999988</v>
      </c>
    </row>
    <row r="61" spans="1:10" x14ac:dyDescent="0.25">
      <c r="A61" s="93"/>
      <c r="C61" s="454"/>
      <c r="D61" s="454"/>
      <c r="E61" s="454"/>
      <c r="F61" s="454"/>
      <c r="G61" s="454"/>
      <c r="H61" s="454"/>
      <c r="J61" s="36"/>
    </row>
    <row r="62" spans="1:10" x14ac:dyDescent="0.25">
      <c r="A62" s="93" t="str">
        <f>'Orçamento '!$A$29</f>
        <v>3.4</v>
      </c>
      <c r="C62" s="460" t="str">
        <f>'Orçamento '!$D$29</f>
        <v>DEMOLIÇÃO MANUAL DE ALVENARIA DE TIJOLO CERÂMICO MACIÇO, INCLUSIVE AFASTAMENTO E EMPILHAMENTO, EXCLUSIVE TRANSPORTE E RETIRADA DO MATERIAL DEMOLIDO</v>
      </c>
      <c r="D62" s="460"/>
      <c r="E62" s="460"/>
      <c r="F62" s="460"/>
      <c r="G62" s="460"/>
      <c r="H62" s="460"/>
      <c r="I62" s="120" t="s">
        <v>5</v>
      </c>
      <c r="J62" s="121">
        <f>SUM(J63:J64)</f>
        <v>7.6167999999999996</v>
      </c>
    </row>
    <row r="63" spans="1:10" x14ac:dyDescent="0.25">
      <c r="A63" s="93"/>
      <c r="C63" s="454" t="s">
        <v>332</v>
      </c>
      <c r="D63" s="454"/>
      <c r="E63" s="454"/>
      <c r="F63" s="454"/>
      <c r="G63" s="454"/>
      <c r="H63" s="454"/>
      <c r="I63" s="37" t="s">
        <v>5</v>
      </c>
      <c r="J63" s="36">
        <f>2.06*2.78</f>
        <v>5.7267999999999999</v>
      </c>
    </row>
    <row r="64" spans="1:10" x14ac:dyDescent="0.25">
      <c r="A64" s="93"/>
      <c r="C64" s="454" t="s">
        <v>335</v>
      </c>
      <c r="D64" s="454"/>
      <c r="E64" s="454"/>
      <c r="F64" s="454"/>
      <c r="G64" s="454"/>
      <c r="H64" s="454"/>
      <c r="I64" s="37" t="s">
        <v>5</v>
      </c>
      <c r="J64" s="36">
        <f>0.9*2.1</f>
        <v>1.8900000000000001</v>
      </c>
    </row>
    <row r="65" spans="1:10" x14ac:dyDescent="0.25">
      <c r="A65" s="93"/>
      <c r="C65" s="454"/>
      <c r="D65" s="454"/>
      <c r="E65" s="454"/>
      <c r="F65" s="454"/>
      <c r="G65" s="454"/>
      <c r="H65" s="454"/>
      <c r="J65" s="36"/>
    </row>
    <row r="66" spans="1:10" s="120" customFormat="1" x14ac:dyDescent="0.25">
      <c r="A66" s="119" t="str">
        <f>'Orçamento '!$A$30</f>
        <v>3.5</v>
      </c>
      <c r="C66" s="460" t="str">
        <f>'Orçamento '!$D$30</f>
        <v>REMOÇÃO MANUAL DE ESQUADRIA EM MADEIRA, COM REAPROVEITAMENTO, INCLUSIVE REMOÇÃO DE MARCO/ALIZAR/ GUARNIÇÕES, AFASTAMENTO E EMPILHAMENTO, EXCLUSIVE TRANSPORTE E RETIRADA DO MATERIAL REMOVIDO NÃO REAPROVEITÁVEL</v>
      </c>
      <c r="D66" s="460"/>
      <c r="E66" s="460"/>
      <c r="F66" s="460"/>
      <c r="G66" s="460"/>
      <c r="H66" s="460"/>
      <c r="I66" s="120" t="s">
        <v>5</v>
      </c>
      <c r="J66" s="121">
        <f>SUM(J68:J72)</f>
        <v>9.4500000000000011</v>
      </c>
    </row>
    <row r="67" spans="1:10" x14ac:dyDescent="0.25">
      <c r="A67" s="93"/>
      <c r="C67" s="454" t="s">
        <v>779</v>
      </c>
      <c r="D67" s="454"/>
      <c r="E67" s="454"/>
      <c r="F67" s="454"/>
      <c r="G67" s="454"/>
      <c r="H67" s="454"/>
      <c r="I67" s="37" t="s">
        <v>5</v>
      </c>
      <c r="J67" s="36">
        <f t="shared" ref="J67:J72" si="0">0.9*2.1</f>
        <v>1.8900000000000001</v>
      </c>
    </row>
    <row r="68" spans="1:10" x14ac:dyDescent="0.25">
      <c r="A68" s="93"/>
      <c r="C68" s="454" t="s">
        <v>329</v>
      </c>
      <c r="D68" s="454"/>
      <c r="E68" s="454"/>
      <c r="F68" s="454"/>
      <c r="G68" s="454"/>
      <c r="H68" s="454"/>
      <c r="I68" s="37" t="s">
        <v>5</v>
      </c>
      <c r="J68" s="36">
        <f t="shared" si="0"/>
        <v>1.8900000000000001</v>
      </c>
    </row>
    <row r="69" spans="1:10" x14ac:dyDescent="0.25">
      <c r="A69" s="93"/>
      <c r="C69" s="454" t="s">
        <v>330</v>
      </c>
      <c r="D69" s="454"/>
      <c r="E69" s="454"/>
      <c r="F69" s="454"/>
      <c r="G69" s="454"/>
      <c r="H69" s="454"/>
      <c r="I69" s="37" t="s">
        <v>5</v>
      </c>
      <c r="J69" s="36">
        <f t="shared" si="0"/>
        <v>1.8900000000000001</v>
      </c>
    </row>
    <row r="70" spans="1:10" x14ac:dyDescent="0.25">
      <c r="A70" s="93"/>
      <c r="C70" s="454" t="s">
        <v>333</v>
      </c>
      <c r="D70" s="454"/>
      <c r="E70" s="454"/>
      <c r="F70" s="454"/>
      <c r="G70" s="454"/>
      <c r="H70" s="454"/>
      <c r="I70" s="37" t="s">
        <v>5</v>
      </c>
      <c r="J70" s="36">
        <f t="shared" si="0"/>
        <v>1.8900000000000001</v>
      </c>
    </row>
    <row r="71" spans="1:10" x14ac:dyDescent="0.25">
      <c r="A71" s="93"/>
      <c r="C71" s="454" t="s">
        <v>336</v>
      </c>
      <c r="D71" s="454"/>
      <c r="E71" s="454"/>
      <c r="F71" s="454"/>
      <c r="G71" s="454"/>
      <c r="H71" s="454"/>
      <c r="I71" s="37" t="s">
        <v>5</v>
      </c>
      <c r="J71" s="36">
        <f t="shared" si="0"/>
        <v>1.8900000000000001</v>
      </c>
    </row>
    <row r="72" spans="1:10" x14ac:dyDescent="0.25">
      <c r="A72" s="93"/>
      <c r="C72" s="454" t="s">
        <v>339</v>
      </c>
      <c r="D72" s="454"/>
      <c r="E72" s="454"/>
      <c r="F72" s="454"/>
      <c r="G72" s="454"/>
      <c r="H72" s="454"/>
      <c r="I72" s="37" t="s">
        <v>5</v>
      </c>
      <c r="J72" s="36">
        <f t="shared" si="0"/>
        <v>1.8900000000000001</v>
      </c>
    </row>
    <row r="73" spans="1:10" x14ac:dyDescent="0.25">
      <c r="A73" s="93"/>
      <c r="C73" s="454"/>
      <c r="D73" s="454"/>
      <c r="E73" s="454"/>
      <c r="F73" s="454"/>
      <c r="G73" s="454"/>
      <c r="H73" s="454"/>
      <c r="J73" s="36"/>
    </row>
    <row r="74" spans="1:10" s="120" customFormat="1" x14ac:dyDescent="0.25">
      <c r="A74" s="119" t="str">
        <f>'Orçamento '!$A$31</f>
        <v>3.6</v>
      </c>
      <c r="C74" s="460" t="str">
        <f>'Orçamento '!$D$31</f>
        <v xml:space="preserve">REMOÇÃO DE MOBILIÁRIOS: MESAS, CADEIRAS, SOFÁS, ARMÁRIOS, PRATELEIRAS, PERSIANAS, ETC. </v>
      </c>
      <c r="D74" s="460"/>
      <c r="E74" s="460"/>
      <c r="F74" s="460"/>
      <c r="G74" s="460"/>
      <c r="H74" s="460"/>
      <c r="I74" s="120" t="s">
        <v>307</v>
      </c>
      <c r="J74" s="121">
        <f>SUM(J75:J86)</f>
        <v>144</v>
      </c>
    </row>
    <row r="75" spans="1:10" x14ac:dyDescent="0.25">
      <c r="A75" s="93"/>
      <c r="C75" s="454" t="s">
        <v>329</v>
      </c>
      <c r="D75" s="454"/>
      <c r="E75" s="454"/>
      <c r="F75" s="454"/>
      <c r="G75" s="454"/>
      <c r="H75" s="454"/>
      <c r="I75" s="37" t="s">
        <v>307</v>
      </c>
      <c r="J75" s="36">
        <v>6</v>
      </c>
    </row>
    <row r="76" spans="1:10" x14ac:dyDescent="0.25">
      <c r="A76" s="93"/>
      <c r="C76" s="454" t="s">
        <v>330</v>
      </c>
      <c r="D76" s="454"/>
      <c r="E76" s="454"/>
      <c r="F76" s="454"/>
      <c r="G76" s="454"/>
      <c r="H76" s="454"/>
      <c r="I76" s="37" t="s">
        <v>307</v>
      </c>
      <c r="J76" s="36">
        <v>26</v>
      </c>
    </row>
    <row r="77" spans="1:10" x14ac:dyDescent="0.25">
      <c r="A77" s="93"/>
      <c r="C77" s="454" t="s">
        <v>331</v>
      </c>
      <c r="D77" s="454"/>
      <c r="E77" s="454"/>
      <c r="F77" s="454"/>
      <c r="G77" s="454"/>
      <c r="H77" s="454"/>
      <c r="I77" s="37" t="s">
        <v>307</v>
      </c>
      <c r="J77" s="36">
        <v>26</v>
      </c>
    </row>
    <row r="78" spans="1:10" x14ac:dyDescent="0.25">
      <c r="A78" s="93"/>
      <c r="C78" s="454" t="s">
        <v>332</v>
      </c>
      <c r="D78" s="454"/>
      <c r="E78" s="454"/>
      <c r="F78" s="454"/>
      <c r="G78" s="454"/>
      <c r="H78" s="454"/>
      <c r="I78" s="37" t="s">
        <v>307</v>
      </c>
      <c r="J78" s="36">
        <v>15</v>
      </c>
    </row>
    <row r="79" spans="1:10" x14ac:dyDescent="0.25">
      <c r="A79" s="93"/>
      <c r="C79" s="454" t="s">
        <v>333</v>
      </c>
      <c r="D79" s="454"/>
      <c r="E79" s="454"/>
      <c r="F79" s="454"/>
      <c r="G79" s="454"/>
      <c r="H79" s="454"/>
      <c r="I79" s="37" t="s">
        <v>307</v>
      </c>
      <c r="J79" s="36">
        <v>11</v>
      </c>
    </row>
    <row r="80" spans="1:10" x14ac:dyDescent="0.25">
      <c r="A80" s="93"/>
      <c r="C80" s="454" t="s">
        <v>334</v>
      </c>
      <c r="D80" s="454"/>
      <c r="E80" s="454"/>
      <c r="F80" s="454"/>
      <c r="G80" s="454"/>
      <c r="H80" s="454"/>
      <c r="I80" s="37" t="s">
        <v>307</v>
      </c>
      <c r="J80" s="36">
        <v>1</v>
      </c>
    </row>
    <row r="81" spans="1:10" x14ac:dyDescent="0.25">
      <c r="A81" s="93"/>
      <c r="C81" s="454" t="s">
        <v>335</v>
      </c>
      <c r="D81" s="454"/>
      <c r="E81" s="454"/>
      <c r="F81" s="454"/>
      <c r="G81" s="454"/>
      <c r="H81" s="454"/>
      <c r="I81" s="37" t="s">
        <v>307</v>
      </c>
      <c r="J81" s="36">
        <v>13</v>
      </c>
    </row>
    <row r="82" spans="1:10" x14ac:dyDescent="0.25">
      <c r="A82" s="93"/>
      <c r="C82" s="454" t="s">
        <v>336</v>
      </c>
      <c r="D82" s="454"/>
      <c r="E82" s="454"/>
      <c r="F82" s="454"/>
      <c r="G82" s="454"/>
      <c r="H82" s="454"/>
      <c r="I82" s="37" t="s">
        <v>307</v>
      </c>
      <c r="J82" s="36">
        <v>8</v>
      </c>
    </row>
    <row r="83" spans="1:10" s="120" customFormat="1" x14ac:dyDescent="0.25">
      <c r="A83" s="119"/>
      <c r="C83" s="454" t="s">
        <v>337</v>
      </c>
      <c r="D83" s="454"/>
      <c r="E83" s="454"/>
      <c r="F83" s="454"/>
      <c r="G83" s="454"/>
      <c r="H83" s="454"/>
      <c r="I83" s="37" t="s">
        <v>307</v>
      </c>
      <c r="J83" s="36">
        <v>10</v>
      </c>
    </row>
    <row r="84" spans="1:10" x14ac:dyDescent="0.25">
      <c r="A84" s="93"/>
      <c r="C84" s="454" t="s">
        <v>338</v>
      </c>
      <c r="D84" s="454"/>
      <c r="E84" s="454"/>
      <c r="F84" s="454"/>
      <c r="G84" s="454"/>
      <c r="H84" s="454"/>
      <c r="I84" s="37" t="s">
        <v>307</v>
      </c>
      <c r="J84" s="36">
        <v>4</v>
      </c>
    </row>
    <row r="85" spans="1:10" x14ac:dyDescent="0.25">
      <c r="A85" s="93"/>
      <c r="C85" s="454" t="s">
        <v>339</v>
      </c>
      <c r="D85" s="454"/>
      <c r="E85" s="454"/>
      <c r="F85" s="454"/>
      <c r="G85" s="454"/>
      <c r="H85" s="454"/>
      <c r="I85" s="37" t="s">
        <v>307</v>
      </c>
      <c r="J85" s="36">
        <v>9</v>
      </c>
    </row>
    <row r="86" spans="1:10" x14ac:dyDescent="0.25">
      <c r="A86" s="93"/>
      <c r="C86" s="454" t="s">
        <v>341</v>
      </c>
      <c r="D86" s="454"/>
      <c r="E86" s="454"/>
      <c r="F86" s="454"/>
      <c r="G86" s="454"/>
      <c r="H86" s="454"/>
      <c r="I86" s="37" t="s">
        <v>307</v>
      </c>
      <c r="J86" s="36">
        <v>15</v>
      </c>
    </row>
    <row r="87" spans="1:10" x14ac:dyDescent="0.25">
      <c r="A87" s="93"/>
      <c r="C87" s="454"/>
      <c r="D87" s="454"/>
      <c r="E87" s="454"/>
      <c r="F87" s="454"/>
      <c r="G87" s="454"/>
      <c r="H87" s="454"/>
      <c r="J87" s="36"/>
    </row>
    <row r="88" spans="1:10" x14ac:dyDescent="0.25">
      <c r="A88" s="119" t="str">
        <f>'Orçamento '!A32</f>
        <v>3.7</v>
      </c>
      <c r="B88" s="120"/>
      <c r="C88" s="462" t="str">
        <f>'Orçamento '!D32</f>
        <v xml:space="preserve">REMANEJAMENTO DE MOBILIÁRIOS PARA TROCA DE PISO </v>
      </c>
      <c r="D88" s="462"/>
      <c r="E88" s="462"/>
      <c r="F88" s="462"/>
      <c r="G88" s="462"/>
      <c r="H88" s="462"/>
      <c r="I88" s="120" t="s">
        <v>307</v>
      </c>
      <c r="J88" s="121">
        <f>SUM(J89:J91)</f>
        <v>22</v>
      </c>
    </row>
    <row r="89" spans="1:10" s="120" customFormat="1" x14ac:dyDescent="0.25">
      <c r="A89" s="119"/>
      <c r="C89" s="454" t="s">
        <v>335</v>
      </c>
      <c r="D89" s="454"/>
      <c r="E89" s="454"/>
      <c r="F89" s="454"/>
      <c r="G89" s="454"/>
      <c r="H89" s="454"/>
      <c r="I89" s="37" t="s">
        <v>307</v>
      </c>
      <c r="J89" s="36">
        <v>10</v>
      </c>
    </row>
    <row r="90" spans="1:10" x14ac:dyDescent="0.25">
      <c r="A90" s="93"/>
      <c r="C90" s="454" t="s">
        <v>338</v>
      </c>
      <c r="D90" s="454"/>
      <c r="E90" s="454"/>
      <c r="F90" s="454"/>
      <c r="G90" s="454"/>
      <c r="H90" s="454"/>
      <c r="I90" s="37" t="s">
        <v>307</v>
      </c>
      <c r="J90" s="36">
        <v>6</v>
      </c>
    </row>
    <row r="91" spans="1:10" x14ac:dyDescent="0.25">
      <c r="A91" s="93"/>
      <c r="C91" s="454" t="s">
        <v>340</v>
      </c>
      <c r="D91" s="454"/>
      <c r="E91" s="454"/>
      <c r="F91" s="454"/>
      <c r="G91" s="454"/>
      <c r="H91" s="454"/>
      <c r="I91" s="37" t="s">
        <v>307</v>
      </c>
      <c r="J91" s="36">
        <v>6</v>
      </c>
    </row>
    <row r="92" spans="1:10" x14ac:dyDescent="0.25">
      <c r="A92" s="93"/>
      <c r="C92" s="454"/>
      <c r="D92" s="454"/>
      <c r="E92" s="454"/>
      <c r="F92" s="454"/>
      <c r="G92" s="454"/>
      <c r="H92" s="454"/>
      <c r="J92" s="36"/>
    </row>
    <row r="93" spans="1:10" s="120" customFormat="1" x14ac:dyDescent="0.25">
      <c r="A93" s="119" t="str">
        <f>'Orçamento '!$A$33</f>
        <v>3.8</v>
      </c>
      <c r="C93" s="460" t="str">
        <f>'Orçamento '!D$33</f>
        <v>DEMOLIÇÃO MANUAL DE PISO VINÍLICO, INCLUSIVE AFASTAMENTO E EMPILHAMENTO, EXCLUSIVE TRANSPORTE E RETIRADA DO MATERIAL DEMOLIDO</v>
      </c>
      <c r="D93" s="460"/>
      <c r="E93" s="460"/>
      <c r="F93" s="460"/>
      <c r="G93" s="460"/>
      <c r="H93" s="460"/>
      <c r="I93" s="120" t="s">
        <v>5</v>
      </c>
      <c r="J93" s="121">
        <f>SUM(J94:J106)</f>
        <v>361.73999999999995</v>
      </c>
    </row>
    <row r="94" spans="1:10" x14ac:dyDescent="0.25">
      <c r="A94" s="93"/>
      <c r="C94" s="454" t="s">
        <v>329</v>
      </c>
      <c r="D94" s="454"/>
      <c r="E94" s="454"/>
      <c r="F94" s="454"/>
      <c r="G94" s="454"/>
      <c r="H94" s="454"/>
      <c r="I94" s="37" t="s">
        <v>5</v>
      </c>
      <c r="J94" s="36">
        <v>13.85</v>
      </c>
    </row>
    <row r="95" spans="1:10" x14ac:dyDescent="0.25">
      <c r="A95" s="93"/>
      <c r="C95" s="454" t="s">
        <v>330</v>
      </c>
      <c r="D95" s="454"/>
      <c r="E95" s="454"/>
      <c r="F95" s="454"/>
      <c r="G95" s="454"/>
      <c r="H95" s="454"/>
      <c r="I95" s="37" t="s">
        <v>5</v>
      </c>
      <c r="J95" s="36">
        <f>50.56</f>
        <v>50.56</v>
      </c>
    </row>
    <row r="96" spans="1:10" x14ac:dyDescent="0.25">
      <c r="A96" s="93"/>
      <c r="C96" s="454" t="s">
        <v>331</v>
      </c>
      <c r="D96" s="454"/>
      <c r="E96" s="454"/>
      <c r="F96" s="454"/>
      <c r="G96" s="454"/>
      <c r="H96" s="454"/>
      <c r="I96" s="37" t="s">
        <v>5</v>
      </c>
      <c r="J96" s="36">
        <v>51.47</v>
      </c>
    </row>
    <row r="97" spans="1:10" x14ac:dyDescent="0.25">
      <c r="A97" s="93"/>
      <c r="C97" s="454" t="s">
        <v>332</v>
      </c>
      <c r="D97" s="454"/>
      <c r="E97" s="454"/>
      <c r="F97" s="454"/>
      <c r="G97" s="454"/>
      <c r="H97" s="454"/>
      <c r="I97" s="37" t="s">
        <v>5</v>
      </c>
      <c r="J97" s="36">
        <v>25.69</v>
      </c>
    </row>
    <row r="98" spans="1:10" x14ac:dyDescent="0.25">
      <c r="A98" s="93"/>
      <c r="C98" s="454" t="s">
        <v>333</v>
      </c>
      <c r="D98" s="454"/>
      <c r="E98" s="454"/>
      <c r="F98" s="454"/>
      <c r="G98" s="454"/>
      <c r="H98" s="454"/>
      <c r="I98" s="37" t="s">
        <v>5</v>
      </c>
      <c r="J98" s="36">
        <v>25.59</v>
      </c>
    </row>
    <row r="99" spans="1:10" x14ac:dyDescent="0.25">
      <c r="A99" s="93"/>
      <c r="C99" s="454" t="s">
        <v>334</v>
      </c>
      <c r="D99" s="454"/>
      <c r="E99" s="454"/>
      <c r="F99" s="454"/>
      <c r="G99" s="454"/>
      <c r="H99" s="454"/>
      <c r="I99" s="37" t="s">
        <v>5</v>
      </c>
      <c r="J99" s="36">
        <v>7.28</v>
      </c>
    </row>
    <row r="100" spans="1:10" x14ac:dyDescent="0.25">
      <c r="A100" s="93"/>
      <c r="C100" s="454" t="s">
        <v>335</v>
      </c>
      <c r="D100" s="454"/>
      <c r="E100" s="454"/>
      <c r="F100" s="454"/>
      <c r="G100" s="454"/>
      <c r="H100" s="454"/>
      <c r="I100" s="37" t="s">
        <v>5</v>
      </c>
      <c r="J100" s="36">
        <v>88.09</v>
      </c>
    </row>
    <row r="101" spans="1:10" x14ac:dyDescent="0.25">
      <c r="A101" s="93"/>
      <c r="C101" s="454" t="s">
        <v>336</v>
      </c>
      <c r="D101" s="454"/>
      <c r="E101" s="454"/>
      <c r="F101" s="454"/>
      <c r="G101" s="454"/>
      <c r="H101" s="454"/>
      <c r="I101" s="37" t="s">
        <v>5</v>
      </c>
      <c r="J101" s="36">
        <v>15.78</v>
      </c>
    </row>
    <row r="102" spans="1:10" x14ac:dyDescent="0.25">
      <c r="A102" s="93"/>
      <c r="C102" s="454" t="s">
        <v>337</v>
      </c>
      <c r="D102" s="454"/>
      <c r="E102" s="454"/>
      <c r="F102" s="454"/>
      <c r="G102" s="454"/>
      <c r="H102" s="454"/>
      <c r="I102" s="37" t="s">
        <v>5</v>
      </c>
      <c r="J102" s="36">
        <v>16.03</v>
      </c>
    </row>
    <row r="103" spans="1:10" x14ac:dyDescent="0.25">
      <c r="A103" s="93"/>
      <c r="C103" s="454" t="s">
        <v>338</v>
      </c>
      <c r="D103" s="454"/>
      <c r="E103" s="454"/>
      <c r="F103" s="454"/>
      <c r="G103" s="454"/>
      <c r="H103" s="454"/>
      <c r="I103" s="37" t="s">
        <v>5</v>
      </c>
      <c r="J103" s="36">
        <v>16.190000000000001</v>
      </c>
    </row>
    <row r="104" spans="1:10" x14ac:dyDescent="0.25">
      <c r="A104" s="93"/>
      <c r="C104" s="454" t="s">
        <v>339</v>
      </c>
      <c r="D104" s="454"/>
      <c r="E104" s="454"/>
      <c r="F104" s="454"/>
      <c r="G104" s="454"/>
      <c r="H104" s="454"/>
      <c r="I104" s="37" t="s">
        <v>5</v>
      </c>
      <c r="J104" s="36">
        <v>16.7</v>
      </c>
    </row>
    <row r="105" spans="1:10" x14ac:dyDescent="0.25">
      <c r="A105" s="93"/>
      <c r="C105" s="454" t="s">
        <v>340</v>
      </c>
      <c r="D105" s="454"/>
      <c r="E105" s="454"/>
      <c r="F105" s="454"/>
      <c r="G105" s="454"/>
      <c r="H105" s="454"/>
      <c r="I105" s="37" t="s">
        <v>5</v>
      </c>
      <c r="J105" s="36">
        <v>8.66</v>
      </c>
    </row>
    <row r="106" spans="1:10" x14ac:dyDescent="0.25">
      <c r="A106" s="93"/>
      <c r="C106" s="454" t="s">
        <v>341</v>
      </c>
      <c r="D106" s="454"/>
      <c r="E106" s="454"/>
      <c r="F106" s="454"/>
      <c r="G106" s="454"/>
      <c r="H106" s="454"/>
      <c r="I106" s="37" t="s">
        <v>5</v>
      </c>
      <c r="J106" s="36">
        <v>25.85</v>
      </c>
    </row>
    <row r="107" spans="1:10" x14ac:dyDescent="0.25">
      <c r="A107" s="93"/>
      <c r="C107" s="454"/>
      <c r="D107" s="454"/>
      <c r="E107" s="454"/>
      <c r="F107" s="454"/>
      <c r="G107" s="454"/>
      <c r="H107" s="454"/>
      <c r="J107" s="36"/>
    </row>
    <row r="108" spans="1:10" s="120" customFormat="1" x14ac:dyDescent="0.25">
      <c r="A108" s="119" t="str">
        <f>'Orçamento '!$A$34</f>
        <v>3.9</v>
      </c>
      <c r="C108" s="460" t="s">
        <v>37</v>
      </c>
      <c r="D108" s="460"/>
      <c r="E108" s="460"/>
      <c r="F108" s="460"/>
      <c r="G108" s="460"/>
      <c r="H108" s="460"/>
      <c r="I108" s="120" t="s">
        <v>308</v>
      </c>
      <c r="J108" s="121">
        <f>SUM(J109:J122)</f>
        <v>379.81000000000006</v>
      </c>
    </row>
    <row r="109" spans="1:10" x14ac:dyDescent="0.25">
      <c r="A109" s="93"/>
      <c r="C109" s="454" t="s">
        <v>329</v>
      </c>
      <c r="D109" s="454"/>
      <c r="E109" s="454"/>
      <c r="F109" s="454"/>
      <c r="G109" s="454"/>
      <c r="H109" s="454"/>
      <c r="I109" s="37" t="s">
        <v>308</v>
      </c>
      <c r="J109" s="36">
        <f>6.34*2+2.23*2</f>
        <v>17.14</v>
      </c>
    </row>
    <row r="110" spans="1:10" x14ac:dyDescent="0.25">
      <c r="A110" s="93"/>
      <c r="C110" s="454" t="s">
        <v>330</v>
      </c>
      <c r="D110" s="454"/>
      <c r="E110" s="454"/>
      <c r="F110" s="454"/>
      <c r="G110" s="454"/>
      <c r="H110" s="454"/>
      <c r="I110" s="37" t="s">
        <v>308</v>
      </c>
      <c r="J110" s="36">
        <f>(6.34+1.15)*2+(6.6*2)+(2.28*2+4.64*2)+2.02+2.09</f>
        <v>46.129999999999995</v>
      </c>
    </row>
    <row r="111" spans="1:10" x14ac:dyDescent="0.25">
      <c r="A111" s="93"/>
      <c r="C111" s="454" t="s">
        <v>331</v>
      </c>
      <c r="D111" s="454"/>
      <c r="E111" s="454"/>
      <c r="F111" s="454"/>
      <c r="G111" s="454"/>
      <c r="H111" s="454"/>
      <c r="I111" s="37" t="s">
        <v>308</v>
      </c>
      <c r="J111" s="36">
        <v>42.79</v>
      </c>
    </row>
    <row r="112" spans="1:10" x14ac:dyDescent="0.25">
      <c r="A112" s="93"/>
      <c r="C112" s="454" t="s">
        <v>332</v>
      </c>
      <c r="D112" s="454"/>
      <c r="E112" s="454"/>
      <c r="F112" s="454"/>
      <c r="G112" s="454"/>
      <c r="H112" s="454"/>
      <c r="I112" s="37" t="s">
        <v>308</v>
      </c>
      <c r="J112" s="36">
        <v>26.61</v>
      </c>
    </row>
    <row r="113" spans="1:10" x14ac:dyDescent="0.25">
      <c r="A113" s="93"/>
      <c r="C113" s="454" t="s">
        <v>333</v>
      </c>
      <c r="D113" s="454"/>
      <c r="E113" s="454"/>
      <c r="F113" s="454"/>
      <c r="G113" s="454"/>
      <c r="H113" s="454"/>
      <c r="I113" s="37" t="s">
        <v>308</v>
      </c>
      <c r="J113" s="36">
        <v>26.42</v>
      </c>
    </row>
    <row r="114" spans="1:10" x14ac:dyDescent="0.25">
      <c r="A114" s="93"/>
      <c r="C114" s="454" t="s">
        <v>334</v>
      </c>
      <c r="D114" s="454"/>
      <c r="E114" s="454"/>
      <c r="F114" s="454"/>
      <c r="G114" s="454"/>
      <c r="H114" s="454"/>
      <c r="I114" s="37" t="s">
        <v>308</v>
      </c>
      <c r="J114" s="36">
        <f>(2.5+1.14)*2+(2*2)</f>
        <v>11.28</v>
      </c>
    </row>
    <row r="115" spans="1:10" x14ac:dyDescent="0.25">
      <c r="A115" s="93"/>
      <c r="C115" s="454" t="s">
        <v>335</v>
      </c>
      <c r="D115" s="454"/>
      <c r="E115" s="454"/>
      <c r="F115" s="454"/>
      <c r="G115" s="454"/>
      <c r="H115" s="454"/>
      <c r="I115" s="37" t="s">
        <v>308</v>
      </c>
      <c r="J115" s="36">
        <f>89.82</f>
        <v>89.82</v>
      </c>
    </row>
    <row r="116" spans="1:10" x14ac:dyDescent="0.25">
      <c r="A116" s="93"/>
      <c r="C116" s="454" t="s">
        <v>336</v>
      </c>
      <c r="D116" s="454"/>
      <c r="E116" s="454"/>
      <c r="F116" s="454"/>
      <c r="G116" s="454"/>
      <c r="H116" s="454"/>
      <c r="I116" s="37" t="s">
        <v>308</v>
      </c>
      <c r="J116" s="36">
        <f>5.44*2+2.92*2</f>
        <v>16.72</v>
      </c>
    </row>
    <row r="117" spans="1:10" x14ac:dyDescent="0.25">
      <c r="A117" s="93"/>
      <c r="C117" s="454" t="s">
        <v>337</v>
      </c>
      <c r="D117" s="454"/>
      <c r="E117" s="454"/>
      <c r="F117" s="454"/>
      <c r="G117" s="454"/>
      <c r="H117" s="454"/>
      <c r="I117" s="37" t="s">
        <v>308</v>
      </c>
      <c r="J117" s="36">
        <f>5.44*2+2.94*2</f>
        <v>16.760000000000002</v>
      </c>
    </row>
    <row r="118" spans="1:10" x14ac:dyDescent="0.25">
      <c r="A118" s="93"/>
      <c r="C118" s="454" t="s">
        <v>338</v>
      </c>
      <c r="D118" s="454"/>
      <c r="E118" s="454"/>
      <c r="F118" s="454"/>
      <c r="G118" s="454"/>
      <c r="H118" s="454"/>
      <c r="I118" s="37" t="s">
        <v>308</v>
      </c>
      <c r="J118" s="36">
        <f>3.58*2+4.67*2</f>
        <v>16.5</v>
      </c>
    </row>
    <row r="119" spans="1:10" x14ac:dyDescent="0.25">
      <c r="A119" s="93"/>
      <c r="C119" s="454" t="s">
        <v>339</v>
      </c>
      <c r="D119" s="454"/>
      <c r="E119" s="454"/>
      <c r="F119" s="454"/>
      <c r="G119" s="454"/>
      <c r="H119" s="454"/>
      <c r="I119" s="37" t="s">
        <v>308</v>
      </c>
      <c r="J119" s="36">
        <f>3.47*2+4.67*2</f>
        <v>16.28</v>
      </c>
    </row>
    <row r="120" spans="1:10" x14ac:dyDescent="0.25">
      <c r="A120" s="93"/>
      <c r="C120" s="454" t="s">
        <v>340</v>
      </c>
      <c r="D120" s="454"/>
      <c r="E120" s="454"/>
      <c r="F120" s="454"/>
      <c r="G120" s="454"/>
      <c r="H120" s="454"/>
      <c r="I120" s="37" t="s">
        <v>308</v>
      </c>
      <c r="J120" s="36">
        <f>3.18*2+2.73*2</f>
        <v>11.82</v>
      </c>
    </row>
    <row r="121" spans="1:10" x14ac:dyDescent="0.25">
      <c r="A121" s="93"/>
      <c r="C121" s="454" t="s">
        <v>341</v>
      </c>
      <c r="D121" s="454"/>
      <c r="E121" s="454"/>
      <c r="F121" s="454"/>
      <c r="G121" s="454"/>
      <c r="H121" s="454"/>
      <c r="I121" s="37" t="s">
        <v>308</v>
      </c>
      <c r="J121" s="36">
        <f>26.44</f>
        <v>26.44</v>
      </c>
    </row>
    <row r="122" spans="1:10" x14ac:dyDescent="0.25">
      <c r="A122" s="93"/>
      <c r="C122" s="454" t="s">
        <v>355</v>
      </c>
      <c r="D122" s="454"/>
      <c r="E122" s="454"/>
      <c r="F122" s="454"/>
      <c r="G122" s="454"/>
      <c r="H122" s="454"/>
      <c r="I122" s="37" t="s">
        <v>308</v>
      </c>
      <c r="J122" s="36">
        <f>(5.94*2+1.61*2)</f>
        <v>15.100000000000001</v>
      </c>
    </row>
    <row r="123" spans="1:10" x14ac:dyDescent="0.25">
      <c r="A123" s="93"/>
      <c r="C123" s="454"/>
      <c r="D123" s="454"/>
      <c r="E123" s="454"/>
      <c r="F123" s="454"/>
      <c r="G123" s="454"/>
      <c r="H123" s="454"/>
      <c r="J123" s="36"/>
    </row>
    <row r="124" spans="1:10" s="120" customFormat="1" x14ac:dyDescent="0.25">
      <c r="A124" s="119" t="str">
        <f>'Orçamento '!$A$36</f>
        <v>3.11</v>
      </c>
      <c r="C124" s="462" t="s">
        <v>290</v>
      </c>
      <c r="D124" s="462"/>
      <c r="E124" s="462"/>
      <c r="F124" s="462"/>
      <c r="G124" s="462"/>
      <c r="H124" s="462"/>
      <c r="I124" s="120" t="s">
        <v>308</v>
      </c>
      <c r="J124" s="121">
        <f>SUM(J125:J125)</f>
        <v>2.73</v>
      </c>
    </row>
    <row r="125" spans="1:10" x14ac:dyDescent="0.25">
      <c r="A125" s="93"/>
      <c r="C125" s="454" t="s">
        <v>336</v>
      </c>
      <c r="D125" s="454"/>
      <c r="E125" s="454"/>
      <c r="F125" s="454"/>
      <c r="G125" s="454"/>
      <c r="H125" s="454"/>
      <c r="I125" s="37" t="s">
        <v>308</v>
      </c>
      <c r="J125" s="36">
        <v>2.73</v>
      </c>
    </row>
    <row r="126" spans="1:10" x14ac:dyDescent="0.25">
      <c r="A126" s="93"/>
      <c r="C126" s="454"/>
      <c r="D126" s="454"/>
      <c r="E126" s="454"/>
      <c r="F126" s="454"/>
      <c r="G126" s="454"/>
      <c r="H126" s="454"/>
      <c r="J126" s="36"/>
    </row>
    <row r="127" spans="1:10" s="120" customFormat="1" x14ac:dyDescent="0.25">
      <c r="A127" s="119" t="str">
        <f>'Orçamento '!A36</f>
        <v>3.11</v>
      </c>
      <c r="C127" s="462" t="str">
        <f>'Orçamento '!D36</f>
        <v>REMOÇÃO DE FECHADURA DA PORTA</v>
      </c>
      <c r="D127" s="462"/>
      <c r="E127" s="462"/>
      <c r="F127" s="462"/>
      <c r="G127" s="462"/>
      <c r="H127" s="462"/>
      <c r="I127" s="120" t="s">
        <v>753</v>
      </c>
      <c r="J127" s="121">
        <f>SUM(J128:J128)</f>
        <v>1</v>
      </c>
    </row>
    <row r="128" spans="1:10" x14ac:dyDescent="0.25">
      <c r="A128" s="93"/>
      <c r="C128" s="454" t="s">
        <v>329</v>
      </c>
      <c r="D128" s="454"/>
      <c r="E128" s="454"/>
      <c r="F128" s="454"/>
      <c r="G128" s="454"/>
      <c r="H128" s="454"/>
      <c r="I128" s="37" t="s">
        <v>753</v>
      </c>
      <c r="J128" s="36">
        <v>1</v>
      </c>
    </row>
    <row r="129" spans="1:10" ht="15.75" thickBot="1" x14ac:dyDescent="0.3">
      <c r="A129" s="93"/>
      <c r="C129" s="454"/>
      <c r="D129" s="454"/>
      <c r="E129" s="454"/>
      <c r="F129" s="454"/>
      <c r="G129" s="454"/>
      <c r="H129" s="454"/>
      <c r="J129" s="36"/>
    </row>
    <row r="130" spans="1:10" ht="15.75" thickBot="1" x14ac:dyDescent="0.3">
      <c r="A130" s="373">
        <v>4</v>
      </c>
      <c r="B130" s="374"/>
      <c r="C130" s="463" t="s">
        <v>12</v>
      </c>
      <c r="D130" s="463"/>
      <c r="E130" s="463"/>
      <c r="F130" s="463"/>
      <c r="G130" s="463"/>
      <c r="H130" s="463"/>
      <c r="I130" s="374"/>
      <c r="J130" s="375"/>
    </row>
    <row r="131" spans="1:10" ht="36.75" customHeight="1" x14ac:dyDescent="0.25">
      <c r="A131" s="125" t="s">
        <v>52</v>
      </c>
      <c r="B131" s="126"/>
      <c r="C131" s="464" t="s">
        <v>101</v>
      </c>
      <c r="D131" s="464"/>
      <c r="E131" s="464"/>
      <c r="F131" s="464"/>
      <c r="G131" s="464"/>
      <c r="H131" s="464"/>
      <c r="I131" s="126" t="s">
        <v>5</v>
      </c>
      <c r="J131" s="377">
        <f>SUM(J132:J146)</f>
        <v>373.54000000000008</v>
      </c>
    </row>
    <row r="132" spans="1:10" x14ac:dyDescent="0.25">
      <c r="A132" s="93"/>
      <c r="C132" s="454" t="s">
        <v>316</v>
      </c>
      <c r="D132" s="454"/>
      <c r="E132" s="454"/>
      <c r="F132" s="454"/>
      <c r="G132" s="454"/>
      <c r="H132" s="454"/>
      <c r="I132" s="37" t="s">
        <v>5</v>
      </c>
      <c r="J132" s="36">
        <v>7.42</v>
      </c>
    </row>
    <row r="133" spans="1:10" x14ac:dyDescent="0.25">
      <c r="A133" s="93"/>
      <c r="C133" s="454" t="s">
        <v>313</v>
      </c>
      <c r="D133" s="454"/>
      <c r="E133" s="454"/>
      <c r="F133" s="454"/>
      <c r="G133" s="454"/>
      <c r="H133" s="454"/>
      <c r="I133" s="37" t="s">
        <v>5</v>
      </c>
      <c r="J133" s="36">
        <v>48.17</v>
      </c>
    </row>
    <row r="134" spans="1:10" x14ac:dyDescent="0.25">
      <c r="A134" s="93"/>
      <c r="C134" s="454" t="s">
        <v>324</v>
      </c>
      <c r="D134" s="454"/>
      <c r="E134" s="454"/>
      <c r="F134" s="454"/>
      <c r="G134" s="454"/>
      <c r="H134" s="454"/>
      <c r="I134" s="37" t="s">
        <v>5</v>
      </c>
      <c r="J134" s="36">
        <v>9.48</v>
      </c>
    </row>
    <row r="135" spans="1:10" x14ac:dyDescent="0.25">
      <c r="A135" s="93"/>
      <c r="C135" s="454" t="s">
        <v>314</v>
      </c>
      <c r="D135" s="454"/>
      <c r="E135" s="454"/>
      <c r="F135" s="454"/>
      <c r="G135" s="454"/>
      <c r="H135" s="454"/>
      <c r="I135" s="37" t="s">
        <v>5</v>
      </c>
      <c r="J135" s="36">
        <v>82.51</v>
      </c>
    </row>
    <row r="136" spans="1:10" x14ac:dyDescent="0.25">
      <c r="A136" s="93"/>
      <c r="C136" s="454" t="s">
        <v>315</v>
      </c>
      <c r="D136" s="454"/>
      <c r="E136" s="454"/>
      <c r="F136" s="454"/>
      <c r="G136" s="454"/>
      <c r="H136" s="454"/>
      <c r="I136" s="37" t="s">
        <v>5</v>
      </c>
      <c r="J136" s="36">
        <v>10.94</v>
      </c>
    </row>
    <row r="137" spans="1:10" x14ac:dyDescent="0.25">
      <c r="A137" s="93"/>
      <c r="C137" s="454" t="s">
        <v>323</v>
      </c>
      <c r="D137" s="454"/>
      <c r="E137" s="454"/>
      <c r="F137" s="454"/>
      <c r="G137" s="454"/>
      <c r="H137" s="454"/>
      <c r="I137" s="37" t="s">
        <v>5</v>
      </c>
      <c r="J137" s="36">
        <v>11.14</v>
      </c>
    </row>
    <row r="138" spans="1:10" x14ac:dyDescent="0.25">
      <c r="A138" s="93"/>
      <c r="C138" s="454" t="s">
        <v>317</v>
      </c>
      <c r="D138" s="454"/>
      <c r="E138" s="454"/>
      <c r="F138" s="454"/>
      <c r="G138" s="454"/>
      <c r="H138" s="454"/>
      <c r="I138" s="37" t="s">
        <v>5</v>
      </c>
      <c r="J138" s="36">
        <v>25.45</v>
      </c>
    </row>
    <row r="139" spans="1:10" x14ac:dyDescent="0.25">
      <c r="A139" s="93"/>
      <c r="C139" s="454" t="s">
        <v>325</v>
      </c>
      <c r="D139" s="454"/>
      <c r="E139" s="454"/>
      <c r="F139" s="454"/>
      <c r="G139" s="454"/>
      <c r="H139" s="454"/>
      <c r="I139" s="37" t="s">
        <v>5</v>
      </c>
      <c r="J139" s="36">
        <v>10.84</v>
      </c>
    </row>
    <row r="140" spans="1:10" x14ac:dyDescent="0.25">
      <c r="A140" s="93"/>
      <c r="C140" s="454" t="s">
        <v>326</v>
      </c>
      <c r="D140" s="454"/>
      <c r="E140" s="454"/>
      <c r="F140" s="454"/>
      <c r="G140" s="454"/>
      <c r="H140" s="454"/>
      <c r="I140" s="37" t="s">
        <v>5</v>
      </c>
      <c r="J140" s="36">
        <v>71.75</v>
      </c>
    </row>
    <row r="141" spans="1:10" x14ac:dyDescent="0.25">
      <c r="A141" s="93"/>
      <c r="C141" s="454" t="s">
        <v>327</v>
      </c>
      <c r="D141" s="454"/>
      <c r="E141" s="454"/>
      <c r="F141" s="454"/>
      <c r="G141" s="454"/>
      <c r="H141" s="454"/>
      <c r="I141" s="37" t="s">
        <v>5</v>
      </c>
      <c r="J141" s="36">
        <v>5</v>
      </c>
    </row>
    <row r="142" spans="1:10" x14ac:dyDescent="0.25">
      <c r="A142" s="93"/>
      <c r="C142" s="454" t="s">
        <v>318</v>
      </c>
      <c r="D142" s="454"/>
      <c r="E142" s="454"/>
      <c r="F142" s="454"/>
      <c r="G142" s="454"/>
      <c r="H142" s="454"/>
      <c r="I142" s="37" t="s">
        <v>5</v>
      </c>
      <c r="J142" s="36">
        <v>16.73</v>
      </c>
    </row>
    <row r="143" spans="1:10" x14ac:dyDescent="0.25">
      <c r="A143" s="93"/>
      <c r="C143" s="454" t="s">
        <v>319</v>
      </c>
      <c r="D143" s="454"/>
      <c r="E143" s="454"/>
      <c r="F143" s="454"/>
      <c r="G143" s="454"/>
      <c r="H143" s="454"/>
      <c r="I143" s="37" t="s">
        <v>5</v>
      </c>
      <c r="J143" s="36">
        <v>8.61</v>
      </c>
    </row>
    <row r="144" spans="1:10" x14ac:dyDescent="0.25">
      <c r="A144" s="93"/>
      <c r="C144" s="454" t="s">
        <v>320</v>
      </c>
      <c r="D144" s="454"/>
      <c r="E144" s="454"/>
      <c r="F144" s="454"/>
      <c r="G144" s="454"/>
      <c r="H144" s="454"/>
      <c r="I144" s="37" t="s">
        <v>5</v>
      </c>
      <c r="J144" s="36">
        <v>27.23</v>
      </c>
    </row>
    <row r="145" spans="1:10" x14ac:dyDescent="0.25">
      <c r="A145" s="93"/>
      <c r="C145" s="454" t="s">
        <v>321</v>
      </c>
      <c r="D145" s="454"/>
      <c r="E145" s="454"/>
      <c r="F145" s="454"/>
      <c r="G145" s="454"/>
      <c r="H145" s="454"/>
      <c r="I145" s="37" t="s">
        <v>5</v>
      </c>
      <c r="J145" s="36">
        <v>9.8800000000000008</v>
      </c>
    </row>
    <row r="146" spans="1:10" x14ac:dyDescent="0.25">
      <c r="A146" s="93"/>
      <c r="C146" s="454" t="s">
        <v>322</v>
      </c>
      <c r="D146" s="454"/>
      <c r="E146" s="454"/>
      <c r="F146" s="454"/>
      <c r="G146" s="454"/>
      <c r="H146" s="454"/>
      <c r="I146" s="37" t="s">
        <v>5</v>
      </c>
      <c r="J146" s="36">
        <v>28.39</v>
      </c>
    </row>
    <row r="147" spans="1:10" x14ac:dyDescent="0.25">
      <c r="A147" s="93"/>
      <c r="C147" s="454"/>
      <c r="D147" s="454"/>
      <c r="E147" s="454"/>
      <c r="F147" s="454"/>
      <c r="G147" s="454"/>
      <c r="H147" s="454"/>
      <c r="J147" s="36"/>
    </row>
    <row r="148" spans="1:10" ht="36.75" customHeight="1" x14ac:dyDescent="0.25">
      <c r="A148" s="125" t="str">
        <f>'Orçamento '!$A$40</f>
        <v>4.2</v>
      </c>
      <c r="B148" s="126"/>
      <c r="C148" s="464" t="str">
        <f>'Orçamento '!$D$40</f>
        <v xml:space="preserve"> REBOCO COM ARGAMASSA, TRAÇO 1:2:8 (CIMENTO, CAL E AREIA) , ESP. 20MM, APLICAÇÃO MANUAL, INCLUSIVE ARGAMASSA COM PREPARO MECANIZADO, EXCLUSIVE CHAPISCO</v>
      </c>
      <c r="D148" s="464"/>
      <c r="E148" s="464"/>
      <c r="F148" s="464"/>
      <c r="G148" s="464"/>
      <c r="H148" s="464"/>
      <c r="I148" s="126" t="s">
        <v>5</v>
      </c>
      <c r="J148" s="377">
        <f>SUM(J149:J149)</f>
        <v>5.9891999999999994</v>
      </c>
    </row>
    <row r="149" spans="1:10" x14ac:dyDescent="0.25">
      <c r="A149" s="93"/>
      <c r="C149" s="454" t="s">
        <v>315</v>
      </c>
      <c r="D149" s="454"/>
      <c r="E149" s="454"/>
      <c r="F149" s="454"/>
      <c r="G149" s="454"/>
      <c r="H149" s="454"/>
      <c r="I149" s="37" t="s">
        <v>5</v>
      </c>
      <c r="J149" s="36">
        <f>2.17*2.76</f>
        <v>5.9891999999999994</v>
      </c>
    </row>
    <row r="150" spans="1:10" x14ac:dyDescent="0.25">
      <c r="A150" s="93"/>
      <c r="C150" s="454"/>
      <c r="D150" s="454"/>
      <c r="E150" s="454"/>
      <c r="F150" s="454"/>
      <c r="G150" s="454"/>
      <c r="H150" s="454"/>
      <c r="J150" s="36"/>
    </row>
    <row r="151" spans="1:10" ht="36.75" customHeight="1" x14ac:dyDescent="0.25">
      <c r="A151" s="125" t="str">
        <f>'Orçamento '!A41</f>
        <v>4.3</v>
      </c>
      <c r="B151" s="126"/>
      <c r="C151" s="464" t="str">
        <f>'Orçamento '!D41</f>
        <v xml:space="preserve">RECOMPOSIÇÃO DE PAREDE (FURO DE PASSAGEM DO EXAUSTOR) </v>
      </c>
      <c r="D151" s="464"/>
      <c r="E151" s="464"/>
      <c r="F151" s="464"/>
      <c r="G151" s="464"/>
      <c r="H151" s="464"/>
      <c r="I151" s="120" t="s">
        <v>753</v>
      </c>
      <c r="J151" s="377">
        <f>SUM(J152:J152)</f>
        <v>12</v>
      </c>
    </row>
    <row r="152" spans="1:10" x14ac:dyDescent="0.25">
      <c r="A152" s="93"/>
      <c r="C152" s="454" t="s">
        <v>803</v>
      </c>
      <c r="D152" s="454"/>
      <c r="E152" s="454"/>
      <c r="F152" s="454"/>
      <c r="G152" s="454"/>
      <c r="H152" s="454"/>
      <c r="I152" s="37" t="s">
        <v>753</v>
      </c>
      <c r="J152" s="36">
        <v>12</v>
      </c>
    </row>
    <row r="153" spans="1:10" ht="15.75" thickBot="1" x14ac:dyDescent="0.3">
      <c r="A153" s="93"/>
      <c r="C153" s="454"/>
      <c r="D153" s="454"/>
      <c r="E153" s="454"/>
      <c r="F153" s="454"/>
      <c r="G153" s="454"/>
      <c r="H153" s="454"/>
      <c r="J153" s="36"/>
    </row>
    <row r="154" spans="1:10" ht="15.75" thickBot="1" x14ac:dyDescent="0.3">
      <c r="A154" s="373">
        <v>5</v>
      </c>
      <c r="B154" s="374"/>
      <c r="C154" s="463" t="s">
        <v>14</v>
      </c>
      <c r="D154" s="463"/>
      <c r="E154" s="463"/>
      <c r="F154" s="463"/>
      <c r="G154" s="463"/>
      <c r="H154" s="463"/>
      <c r="I154" s="374"/>
      <c r="J154" s="375"/>
    </row>
    <row r="155" spans="1:10" x14ac:dyDescent="0.25">
      <c r="A155" s="125" t="s">
        <v>53</v>
      </c>
      <c r="B155" s="126"/>
      <c r="C155" s="462" t="s">
        <v>15</v>
      </c>
      <c r="D155" s="462"/>
      <c r="E155" s="462"/>
      <c r="F155" s="462"/>
      <c r="G155" s="462"/>
      <c r="H155" s="462"/>
      <c r="I155" s="126" t="s">
        <v>5</v>
      </c>
      <c r="J155" s="377">
        <f>SUM(J156:J161)</f>
        <v>3.3150999999999997</v>
      </c>
    </row>
    <row r="156" spans="1:10" x14ac:dyDescent="0.25">
      <c r="A156" s="93"/>
      <c r="C156" s="454" t="s">
        <v>316</v>
      </c>
      <c r="D156" s="454"/>
      <c r="E156" s="454"/>
      <c r="F156" s="454"/>
      <c r="G156" s="454"/>
      <c r="H156" s="454"/>
      <c r="I156" s="37" t="s">
        <v>5</v>
      </c>
      <c r="J156" s="36">
        <f>2.84*0.15</f>
        <v>0.42599999999999999</v>
      </c>
    </row>
    <row r="157" spans="1:10" x14ac:dyDescent="0.25">
      <c r="A157" s="93"/>
      <c r="C157" s="454" t="s">
        <v>324</v>
      </c>
      <c r="D157" s="454"/>
      <c r="E157" s="454"/>
      <c r="F157" s="454"/>
      <c r="G157" s="454"/>
      <c r="H157" s="454"/>
      <c r="I157" s="37" t="s">
        <v>5</v>
      </c>
      <c r="J157" s="36">
        <f>3.15*0.15</f>
        <v>0.47249999999999998</v>
      </c>
    </row>
    <row r="158" spans="1:10" x14ac:dyDescent="0.25">
      <c r="A158" s="93"/>
      <c r="C158" s="454" t="s">
        <v>315</v>
      </c>
      <c r="D158" s="454"/>
      <c r="E158" s="454"/>
      <c r="F158" s="454"/>
      <c r="G158" s="454"/>
      <c r="H158" s="454"/>
      <c r="I158" s="37" t="s">
        <v>5</v>
      </c>
      <c r="J158" s="36">
        <f>3.68*0.16</f>
        <v>0.58879999999999999</v>
      </c>
    </row>
    <row r="159" spans="1:10" x14ac:dyDescent="0.25">
      <c r="A159" s="93"/>
      <c r="C159" s="454" t="s">
        <v>323</v>
      </c>
      <c r="D159" s="454"/>
      <c r="E159" s="454"/>
      <c r="F159" s="454"/>
      <c r="G159" s="454"/>
      <c r="H159" s="454"/>
      <c r="I159" s="37" t="s">
        <v>5</v>
      </c>
      <c r="J159" s="36">
        <f>3.68*0.16</f>
        <v>0.58879999999999999</v>
      </c>
    </row>
    <row r="160" spans="1:10" x14ac:dyDescent="0.25">
      <c r="A160" s="93"/>
      <c r="C160" s="454" t="s">
        <v>325</v>
      </c>
      <c r="D160" s="454"/>
      <c r="E160" s="454"/>
      <c r="F160" s="454"/>
      <c r="G160" s="454"/>
      <c r="H160" s="454"/>
      <c r="I160" s="37" t="s">
        <v>5</v>
      </c>
      <c r="J160" s="36">
        <f>3.81*0.14</f>
        <v>0.5334000000000001</v>
      </c>
    </row>
    <row r="161" spans="1:10" x14ac:dyDescent="0.25">
      <c r="A161" s="93"/>
      <c r="C161" s="454" t="s">
        <v>320</v>
      </c>
      <c r="D161" s="454"/>
      <c r="E161" s="454"/>
      <c r="F161" s="454"/>
      <c r="G161" s="454"/>
      <c r="H161" s="454"/>
      <c r="I161" s="37" t="s">
        <v>5</v>
      </c>
      <c r="J161" s="36">
        <f>(3.47+1.57)*0.14</f>
        <v>0.70560000000000012</v>
      </c>
    </row>
    <row r="162" spans="1:10" x14ac:dyDescent="0.25">
      <c r="A162" s="93"/>
      <c r="C162" s="454"/>
      <c r="D162" s="454"/>
      <c r="E162" s="454"/>
      <c r="F162" s="454"/>
      <c r="G162" s="454"/>
      <c r="H162" s="454"/>
      <c r="J162" s="36"/>
    </row>
    <row r="163" spans="1:10" ht="30" customHeight="1" x14ac:dyDescent="0.25">
      <c r="A163" s="125" t="str">
        <f>'Orçamento '!$A$45</f>
        <v>5.2</v>
      </c>
      <c r="B163" s="126"/>
      <c r="C163" s="460" t="str">
        <f>'Orçamento '!$D$45</f>
        <v>ACABAMENTOS PARA FORRO (MOLDURA EM DRYWALL, COM LARGURA DE 15 CM). AF_ 05/2017_PS</v>
      </c>
      <c r="D163" s="460"/>
      <c r="E163" s="460"/>
      <c r="F163" s="460"/>
      <c r="G163" s="460"/>
      <c r="H163" s="460"/>
      <c r="I163" s="126" t="s">
        <v>11</v>
      </c>
      <c r="J163" s="377">
        <f>SUM(J164:J171)</f>
        <v>33.679999999999993</v>
      </c>
    </row>
    <row r="164" spans="1:10" x14ac:dyDescent="0.25">
      <c r="A164" s="93"/>
      <c r="C164" s="454" t="s">
        <v>316</v>
      </c>
      <c r="D164" s="454"/>
      <c r="E164" s="454"/>
      <c r="F164" s="454"/>
      <c r="G164" s="454"/>
      <c r="H164" s="454"/>
      <c r="I164" s="37" t="s">
        <v>308</v>
      </c>
      <c r="J164" s="36">
        <v>2.56</v>
      </c>
    </row>
    <row r="165" spans="1:10" x14ac:dyDescent="0.25">
      <c r="A165" s="93"/>
      <c r="C165" s="454" t="s">
        <v>313</v>
      </c>
      <c r="D165" s="454"/>
      <c r="E165" s="454"/>
      <c r="F165" s="454"/>
      <c r="G165" s="454"/>
      <c r="H165" s="454"/>
      <c r="I165" s="37" t="s">
        <v>308</v>
      </c>
      <c r="J165" s="36">
        <f>2.72+1.15+2.75</f>
        <v>6.62</v>
      </c>
    </row>
    <row r="166" spans="1:10" x14ac:dyDescent="0.25">
      <c r="A166" s="93"/>
      <c r="C166" s="454" t="s">
        <v>324</v>
      </c>
      <c r="D166" s="454"/>
      <c r="E166" s="454"/>
      <c r="F166" s="454"/>
      <c r="G166" s="454"/>
      <c r="H166" s="454"/>
      <c r="I166" s="37" t="s">
        <v>308</v>
      </c>
      <c r="J166" s="36">
        <f>1.68</f>
        <v>1.68</v>
      </c>
    </row>
    <row r="167" spans="1:10" x14ac:dyDescent="0.25">
      <c r="A167" s="93"/>
      <c r="C167" s="454" t="s">
        <v>314</v>
      </c>
      <c r="D167" s="454"/>
      <c r="E167" s="454"/>
      <c r="F167" s="454"/>
      <c r="G167" s="454"/>
      <c r="H167" s="454"/>
      <c r="I167" s="37" t="s">
        <v>308</v>
      </c>
      <c r="J167" s="36">
        <f>3.48+3.56</f>
        <v>7.04</v>
      </c>
    </row>
    <row r="168" spans="1:10" x14ac:dyDescent="0.25">
      <c r="A168" s="93"/>
      <c r="C168" s="454" t="s">
        <v>315</v>
      </c>
      <c r="D168" s="454"/>
      <c r="E168" s="454"/>
      <c r="F168" s="454"/>
      <c r="G168" s="454"/>
      <c r="H168" s="454"/>
      <c r="I168" s="37" t="s">
        <v>308</v>
      </c>
      <c r="J168" s="36">
        <v>1.31</v>
      </c>
    </row>
    <row r="169" spans="1:10" x14ac:dyDescent="0.25">
      <c r="A169" s="93"/>
      <c r="C169" s="454" t="s">
        <v>323</v>
      </c>
      <c r="D169" s="454"/>
      <c r="E169" s="454"/>
      <c r="F169" s="454"/>
      <c r="G169" s="454"/>
      <c r="H169" s="454"/>
      <c r="I169" s="37" t="s">
        <v>308</v>
      </c>
      <c r="J169" s="36">
        <v>1.31</v>
      </c>
    </row>
    <row r="170" spans="1:10" x14ac:dyDescent="0.25">
      <c r="A170" s="93"/>
      <c r="C170" s="454" t="s">
        <v>325</v>
      </c>
      <c r="D170" s="454"/>
      <c r="E170" s="454"/>
      <c r="F170" s="454"/>
      <c r="G170" s="454"/>
      <c r="H170" s="454"/>
      <c r="I170" s="37" t="s">
        <v>308</v>
      </c>
      <c r="J170" s="36">
        <v>2.63</v>
      </c>
    </row>
    <row r="171" spans="1:10" x14ac:dyDescent="0.25">
      <c r="A171" s="93"/>
      <c r="C171" s="454" t="s">
        <v>326</v>
      </c>
      <c r="D171" s="454"/>
      <c r="E171" s="454"/>
      <c r="F171" s="454"/>
      <c r="G171" s="454"/>
      <c r="H171" s="454"/>
      <c r="I171" s="37" t="s">
        <v>308</v>
      </c>
      <c r="J171" s="36">
        <f>5.63+0.9+2+2</f>
        <v>10.530000000000001</v>
      </c>
    </row>
    <row r="172" spans="1:10" x14ac:dyDescent="0.25">
      <c r="A172" s="93"/>
      <c r="C172" s="454"/>
      <c r="D172" s="454"/>
      <c r="E172" s="454"/>
      <c r="F172" s="454"/>
      <c r="G172" s="454"/>
      <c r="H172" s="454"/>
      <c r="J172" s="36"/>
    </row>
    <row r="173" spans="1:10" ht="17.25" customHeight="1" x14ac:dyDescent="0.25">
      <c r="A173" s="125" t="str">
        <f>'Orçamento '!$A$46</f>
        <v>5.3</v>
      </c>
      <c r="B173" s="126"/>
      <c r="C173" s="460" t="s">
        <v>291</v>
      </c>
      <c r="D173" s="460"/>
      <c r="E173" s="460"/>
      <c r="F173" s="460"/>
      <c r="G173" s="460"/>
      <c r="H173" s="460"/>
      <c r="I173" s="126" t="s">
        <v>11</v>
      </c>
      <c r="J173" s="377">
        <f>SUM(J174:J181)</f>
        <v>33.679999999999993</v>
      </c>
    </row>
    <row r="174" spans="1:10" x14ac:dyDescent="0.25">
      <c r="A174" s="93"/>
      <c r="C174" s="454" t="s">
        <v>316</v>
      </c>
      <c r="D174" s="454"/>
      <c r="E174" s="454"/>
      <c r="F174" s="454"/>
      <c r="G174" s="454"/>
      <c r="H174" s="454"/>
      <c r="I174" s="37" t="s">
        <v>308</v>
      </c>
      <c r="J174" s="36">
        <v>2.56</v>
      </c>
    </row>
    <row r="175" spans="1:10" x14ac:dyDescent="0.25">
      <c r="A175" s="93"/>
      <c r="C175" s="454" t="s">
        <v>313</v>
      </c>
      <c r="D175" s="454"/>
      <c r="E175" s="454"/>
      <c r="F175" s="454"/>
      <c r="G175" s="454"/>
      <c r="H175" s="454"/>
      <c r="I175" s="37" t="s">
        <v>308</v>
      </c>
      <c r="J175" s="36">
        <f>2.72+1.15+2.75</f>
        <v>6.62</v>
      </c>
    </row>
    <row r="176" spans="1:10" x14ac:dyDescent="0.25">
      <c r="A176" s="93"/>
      <c r="C176" s="454" t="s">
        <v>324</v>
      </c>
      <c r="D176" s="454"/>
      <c r="E176" s="454"/>
      <c r="F176" s="454"/>
      <c r="G176" s="454"/>
      <c r="H176" s="454"/>
      <c r="I176" s="37" t="s">
        <v>308</v>
      </c>
      <c r="J176" s="36">
        <f>1.68</f>
        <v>1.68</v>
      </c>
    </row>
    <row r="177" spans="1:10" x14ac:dyDescent="0.25">
      <c r="A177" s="93"/>
      <c r="C177" s="454" t="s">
        <v>314</v>
      </c>
      <c r="D177" s="454"/>
      <c r="E177" s="454"/>
      <c r="F177" s="454"/>
      <c r="G177" s="454"/>
      <c r="H177" s="454"/>
      <c r="I177" s="37" t="s">
        <v>308</v>
      </c>
      <c r="J177" s="36">
        <f>3.48+3.56</f>
        <v>7.04</v>
      </c>
    </row>
    <row r="178" spans="1:10" x14ac:dyDescent="0.25">
      <c r="A178" s="93"/>
      <c r="C178" s="454" t="s">
        <v>315</v>
      </c>
      <c r="D178" s="454"/>
      <c r="E178" s="454"/>
      <c r="F178" s="454"/>
      <c r="G178" s="454"/>
      <c r="H178" s="454"/>
      <c r="I178" s="37" t="s">
        <v>308</v>
      </c>
      <c r="J178" s="36">
        <v>1.31</v>
      </c>
    </row>
    <row r="179" spans="1:10" x14ac:dyDescent="0.25">
      <c r="A179" s="93"/>
      <c r="C179" s="454" t="s">
        <v>323</v>
      </c>
      <c r="D179" s="454"/>
      <c r="E179" s="454"/>
      <c r="F179" s="454"/>
      <c r="G179" s="454"/>
      <c r="H179" s="454"/>
      <c r="I179" s="37" t="s">
        <v>308</v>
      </c>
      <c r="J179" s="36">
        <v>1.31</v>
      </c>
    </row>
    <row r="180" spans="1:10" x14ac:dyDescent="0.25">
      <c r="A180" s="93"/>
      <c r="C180" s="454" t="s">
        <v>325</v>
      </c>
      <c r="D180" s="454"/>
      <c r="E180" s="454"/>
      <c r="F180" s="454"/>
      <c r="G180" s="454"/>
      <c r="H180" s="454"/>
      <c r="I180" s="37" t="s">
        <v>308</v>
      </c>
      <c r="J180" s="36">
        <v>2.63</v>
      </c>
    </row>
    <row r="181" spans="1:10" x14ac:dyDescent="0.25">
      <c r="A181" s="93"/>
      <c r="C181" s="454" t="s">
        <v>326</v>
      </c>
      <c r="D181" s="454"/>
      <c r="E181" s="454"/>
      <c r="F181" s="454"/>
      <c r="G181" s="454"/>
      <c r="H181" s="454"/>
      <c r="I181" s="37" t="s">
        <v>308</v>
      </c>
      <c r="J181" s="36">
        <f>5.63+0.9+2+2</f>
        <v>10.530000000000001</v>
      </c>
    </row>
    <row r="182" spans="1:10" x14ac:dyDescent="0.25">
      <c r="A182" s="93"/>
      <c r="C182" s="454"/>
      <c r="D182" s="454"/>
      <c r="E182" s="454"/>
      <c r="F182" s="454"/>
      <c r="G182" s="454"/>
      <c r="H182" s="454"/>
      <c r="J182" s="36"/>
    </row>
    <row r="183" spans="1:10" ht="17.25" customHeight="1" x14ac:dyDescent="0.25">
      <c r="A183" s="125" t="str">
        <f>'Orçamento '!$A$47</f>
        <v>5.4</v>
      </c>
      <c r="B183" s="126"/>
      <c r="C183" s="460" t="str">
        <f>'Orçamento '!$D$47</f>
        <v xml:space="preserve">	INSTALAÇÃO DE REFORÇO DE MADEIRA EM PAREDE DRYWALL. AF_06/2017</v>
      </c>
      <c r="D183" s="460"/>
      <c r="E183" s="460"/>
      <c r="F183" s="460"/>
      <c r="G183" s="460"/>
      <c r="H183" s="460"/>
      <c r="I183" s="126" t="s">
        <v>11</v>
      </c>
      <c r="J183" s="377">
        <f>SUM(J184:J184)</f>
        <v>11.04</v>
      </c>
    </row>
    <row r="184" spans="1:10" x14ac:dyDescent="0.25">
      <c r="A184" s="93"/>
      <c r="C184" s="454" t="s">
        <v>650</v>
      </c>
      <c r="D184" s="454"/>
      <c r="E184" s="454"/>
      <c r="F184" s="454"/>
      <c r="G184" s="454"/>
      <c r="H184" s="454"/>
      <c r="I184" s="37" t="s">
        <v>11</v>
      </c>
      <c r="J184" s="36">
        <f>4*2.76</f>
        <v>11.04</v>
      </c>
    </row>
    <row r="185" spans="1:10" x14ac:dyDescent="0.25">
      <c r="A185" s="93"/>
      <c r="C185" s="454"/>
      <c r="D185" s="454"/>
      <c r="E185" s="454"/>
      <c r="F185" s="454"/>
      <c r="G185" s="454"/>
      <c r="H185" s="454"/>
      <c r="J185" s="36"/>
    </row>
    <row r="186" spans="1:10" ht="31.5" customHeight="1" x14ac:dyDescent="0.25">
      <c r="A186" s="125" t="str">
        <f>'Orçamento '!$A$48</f>
        <v>5.5</v>
      </c>
      <c r="B186" s="126"/>
      <c r="C186" s="460" t="str">
        <f>'Orçamento '!$D$48</f>
        <v xml:space="preserve"> FORRO MINERAL REMOVÍVEL MODULAR (1250x625x15MM) THERMATEX ANTARIS.
ESTRUTURA APARENTE SK. COR BRANCO. REF. KANUF</v>
      </c>
      <c r="D186" s="460"/>
      <c r="E186" s="460"/>
      <c r="F186" s="460"/>
      <c r="G186" s="460"/>
      <c r="H186" s="460"/>
      <c r="I186" s="126" t="s">
        <v>5</v>
      </c>
      <c r="J186" s="377">
        <f>SUM(J187:J201)</f>
        <v>419.07000000000011</v>
      </c>
    </row>
    <row r="187" spans="1:10" x14ac:dyDescent="0.25">
      <c r="A187" s="93"/>
      <c r="C187" s="454" t="s">
        <v>316</v>
      </c>
      <c r="D187" s="454"/>
      <c r="E187" s="454"/>
      <c r="F187" s="454"/>
      <c r="G187" s="454"/>
      <c r="H187" s="454"/>
      <c r="I187" s="37" t="s">
        <v>5</v>
      </c>
      <c r="J187" s="36">
        <v>7.42</v>
      </c>
    </row>
    <row r="188" spans="1:10" x14ac:dyDescent="0.25">
      <c r="A188" s="93"/>
      <c r="C188" s="454" t="s">
        <v>313</v>
      </c>
      <c r="D188" s="454"/>
      <c r="E188" s="454"/>
      <c r="F188" s="454"/>
      <c r="G188" s="454"/>
      <c r="H188" s="454"/>
      <c r="I188" s="37" t="s">
        <v>5</v>
      </c>
      <c r="J188" s="36">
        <v>48.17</v>
      </c>
    </row>
    <row r="189" spans="1:10" x14ac:dyDescent="0.25">
      <c r="A189" s="93"/>
      <c r="C189" s="454" t="s">
        <v>324</v>
      </c>
      <c r="D189" s="454"/>
      <c r="E189" s="454"/>
      <c r="F189" s="454"/>
      <c r="G189" s="454"/>
      <c r="H189" s="454"/>
      <c r="I189" s="37" t="s">
        <v>5</v>
      </c>
      <c r="J189" s="36">
        <v>9.48</v>
      </c>
    </row>
    <row r="190" spans="1:10" x14ac:dyDescent="0.25">
      <c r="A190" s="93"/>
      <c r="C190" s="454" t="s">
        <v>314</v>
      </c>
      <c r="D190" s="454"/>
      <c r="E190" s="454"/>
      <c r="F190" s="454"/>
      <c r="G190" s="454"/>
      <c r="H190" s="454"/>
      <c r="I190" s="37" t="s">
        <v>5</v>
      </c>
      <c r="J190" s="36">
        <v>82.51</v>
      </c>
    </row>
    <row r="191" spans="1:10" x14ac:dyDescent="0.25">
      <c r="A191" s="93"/>
      <c r="C191" s="454" t="s">
        <v>315</v>
      </c>
      <c r="D191" s="454"/>
      <c r="E191" s="454"/>
      <c r="F191" s="454"/>
      <c r="G191" s="454"/>
      <c r="H191" s="454"/>
      <c r="I191" s="37" t="s">
        <v>5</v>
      </c>
      <c r="J191" s="36">
        <v>10.94</v>
      </c>
    </row>
    <row r="192" spans="1:10" x14ac:dyDescent="0.25">
      <c r="A192" s="93"/>
      <c r="C192" s="454" t="s">
        <v>323</v>
      </c>
      <c r="D192" s="454"/>
      <c r="E192" s="454"/>
      <c r="F192" s="454"/>
      <c r="G192" s="454"/>
      <c r="H192" s="454"/>
      <c r="I192" s="37" t="s">
        <v>5</v>
      </c>
      <c r="J192" s="378">
        <v>11.14</v>
      </c>
    </row>
    <row r="193" spans="1:10" x14ac:dyDescent="0.25">
      <c r="A193" s="93"/>
      <c r="C193" s="454" t="s">
        <v>317</v>
      </c>
      <c r="D193" s="454"/>
      <c r="E193" s="454"/>
      <c r="F193" s="454"/>
      <c r="G193" s="454"/>
      <c r="H193" s="454"/>
      <c r="I193" s="37" t="s">
        <v>5</v>
      </c>
      <c r="J193" s="36">
        <v>25.45</v>
      </c>
    </row>
    <row r="194" spans="1:10" x14ac:dyDescent="0.25">
      <c r="A194" s="93"/>
      <c r="C194" s="454" t="s">
        <v>325</v>
      </c>
      <c r="D194" s="454"/>
      <c r="E194" s="454"/>
      <c r="F194" s="454"/>
      <c r="G194" s="454"/>
      <c r="H194" s="454"/>
      <c r="I194" s="37" t="s">
        <v>5</v>
      </c>
      <c r="J194" s="36">
        <v>10.84</v>
      </c>
    </row>
    <row r="195" spans="1:10" x14ac:dyDescent="0.25">
      <c r="A195" s="93"/>
      <c r="C195" s="454" t="s">
        <v>326</v>
      </c>
      <c r="D195" s="454"/>
      <c r="E195" s="454"/>
      <c r="F195" s="454"/>
      <c r="G195" s="454"/>
      <c r="H195" s="454"/>
      <c r="I195" s="37" t="s">
        <v>5</v>
      </c>
      <c r="J195" s="36">
        <v>71.75</v>
      </c>
    </row>
    <row r="196" spans="1:10" x14ac:dyDescent="0.25">
      <c r="A196" s="93"/>
      <c r="C196" s="454" t="s">
        <v>327</v>
      </c>
      <c r="D196" s="454"/>
      <c r="E196" s="454"/>
      <c r="F196" s="454"/>
      <c r="G196" s="454"/>
      <c r="H196" s="454"/>
      <c r="I196" s="37" t="s">
        <v>5</v>
      </c>
      <c r="J196" s="36">
        <v>5</v>
      </c>
    </row>
    <row r="197" spans="1:10" x14ac:dyDescent="0.25">
      <c r="A197" s="93"/>
      <c r="C197" s="454" t="s">
        <v>318</v>
      </c>
      <c r="D197" s="454"/>
      <c r="E197" s="454"/>
      <c r="F197" s="454"/>
      <c r="G197" s="454"/>
      <c r="H197" s="454"/>
      <c r="I197" s="37" t="s">
        <v>5</v>
      </c>
      <c r="J197" s="36">
        <v>16.73</v>
      </c>
    </row>
    <row r="198" spans="1:10" x14ac:dyDescent="0.25">
      <c r="A198" s="93"/>
      <c r="C198" s="454"/>
      <c r="D198" s="454"/>
      <c r="E198" s="454"/>
      <c r="F198" s="454"/>
      <c r="G198" s="454"/>
      <c r="H198" s="454"/>
      <c r="J198" s="36"/>
    </row>
    <row r="199" spans="1:10" ht="31.5" customHeight="1" x14ac:dyDescent="0.25">
      <c r="A199" s="125" t="str">
        <f>'Orçamento '!$A$49</f>
        <v>5.6</v>
      </c>
      <c r="B199" s="126"/>
      <c r="C199" s="460" t="str">
        <f>'Orçamento '!$D$49</f>
        <v>FORRO MINERAL REMOVÍVEL MODULAR (625x625x15MM) AMF TOPIQ PRIME.
ESTRUTURA APARENTE SK. COR BRANCO. REF. KNAUF (OU OWA OPÇÃO BRILLIANTO)</v>
      </c>
      <c r="D199" s="460"/>
      <c r="E199" s="460"/>
      <c r="F199" s="460"/>
      <c r="G199" s="460"/>
      <c r="H199" s="460"/>
      <c r="I199" s="126" t="s">
        <v>5</v>
      </c>
      <c r="J199" s="377">
        <f>SUM(J200:J204)</f>
        <v>83.800000000000011</v>
      </c>
    </row>
    <row r="200" spans="1:10" x14ac:dyDescent="0.25">
      <c r="A200" s="93"/>
      <c r="C200" s="454" t="s">
        <v>320</v>
      </c>
      <c r="D200" s="454"/>
      <c r="E200" s="454"/>
      <c r="F200" s="454"/>
      <c r="G200" s="454"/>
      <c r="H200" s="454"/>
      <c r="I200" s="37" t="s">
        <v>5</v>
      </c>
      <c r="J200" s="36">
        <v>27.23</v>
      </c>
    </row>
    <row r="201" spans="1:10" x14ac:dyDescent="0.25">
      <c r="A201" s="93"/>
      <c r="C201" s="454" t="s">
        <v>319</v>
      </c>
      <c r="D201" s="454"/>
      <c r="E201" s="454"/>
      <c r="F201" s="454"/>
      <c r="G201" s="454"/>
      <c r="H201" s="454"/>
      <c r="I201" s="37" t="s">
        <v>5</v>
      </c>
      <c r="J201" s="36">
        <v>8.61</v>
      </c>
    </row>
    <row r="202" spans="1:10" x14ac:dyDescent="0.25">
      <c r="A202" s="93"/>
      <c r="C202" s="454" t="s">
        <v>321</v>
      </c>
      <c r="D202" s="454"/>
      <c r="E202" s="454"/>
      <c r="F202" s="454"/>
      <c r="G202" s="454"/>
      <c r="H202" s="454"/>
      <c r="I202" s="37" t="s">
        <v>5</v>
      </c>
      <c r="J202" s="36">
        <v>9.8800000000000008</v>
      </c>
    </row>
    <row r="203" spans="1:10" x14ac:dyDescent="0.25">
      <c r="A203" s="93"/>
      <c r="C203" s="454" t="s">
        <v>322</v>
      </c>
      <c r="D203" s="454"/>
      <c r="E203" s="454"/>
      <c r="F203" s="454"/>
      <c r="G203" s="454"/>
      <c r="H203" s="454"/>
      <c r="I203" s="37" t="s">
        <v>5</v>
      </c>
      <c r="J203" s="36">
        <v>28.39</v>
      </c>
    </row>
    <row r="204" spans="1:10" x14ac:dyDescent="0.25">
      <c r="A204" s="93"/>
      <c r="C204" s="454" t="s">
        <v>344</v>
      </c>
      <c r="D204" s="454"/>
      <c r="E204" s="454"/>
      <c r="F204" s="454"/>
      <c r="G204" s="454"/>
      <c r="H204" s="454"/>
      <c r="I204" s="37" t="s">
        <v>5</v>
      </c>
      <c r="J204" s="36">
        <v>9.69</v>
      </c>
    </row>
    <row r="205" spans="1:10" x14ac:dyDescent="0.25">
      <c r="A205" s="93"/>
      <c r="C205" s="454"/>
      <c r="D205" s="454"/>
      <c r="E205" s="454"/>
      <c r="F205" s="454"/>
      <c r="G205" s="454"/>
      <c r="H205" s="454"/>
      <c r="J205" s="36"/>
    </row>
    <row r="206" spans="1:10" ht="39.75" customHeight="1" x14ac:dyDescent="0.25">
      <c r="A206" s="125" t="str">
        <f>'Orçamento '!$A$50</f>
        <v>5.7</v>
      </c>
      <c r="B206" s="126"/>
      <c r="C206" s="460" t="s">
        <v>103</v>
      </c>
      <c r="D206" s="460"/>
      <c r="E206" s="460"/>
      <c r="F206" s="460"/>
      <c r="G206" s="460"/>
      <c r="H206" s="460"/>
      <c r="I206" s="126" t="s">
        <v>5</v>
      </c>
      <c r="J206" s="377">
        <f>SUM(J207:J212)</f>
        <v>5.0415999999999999</v>
      </c>
    </row>
    <row r="207" spans="1:10" x14ac:dyDescent="0.25">
      <c r="A207" s="93"/>
      <c r="C207" s="454" t="s">
        <v>316</v>
      </c>
      <c r="D207" s="454"/>
      <c r="E207" s="454"/>
      <c r="F207" s="454"/>
      <c r="G207" s="454"/>
      <c r="H207" s="454"/>
      <c r="I207" s="37" t="s">
        <v>5</v>
      </c>
      <c r="J207" s="36">
        <f>0.25*(2.76-0.92)</f>
        <v>0.45999999999999996</v>
      </c>
    </row>
    <row r="208" spans="1:10" x14ac:dyDescent="0.25">
      <c r="A208" s="93"/>
      <c r="C208" s="454" t="s">
        <v>313</v>
      </c>
      <c r="D208" s="454"/>
      <c r="E208" s="454"/>
      <c r="F208" s="454"/>
      <c r="G208" s="454"/>
      <c r="H208" s="454"/>
      <c r="I208" s="37" t="s">
        <v>5</v>
      </c>
      <c r="J208" s="36">
        <f>(0.25+0.66)*(2.76-0.92)</f>
        <v>1.6743999999999999</v>
      </c>
    </row>
    <row r="209" spans="1:10" x14ac:dyDescent="0.25">
      <c r="A209" s="93"/>
      <c r="C209" s="454" t="s">
        <v>315</v>
      </c>
      <c r="D209" s="454"/>
      <c r="E209" s="454"/>
      <c r="F209" s="454"/>
      <c r="G209" s="454"/>
      <c r="H209" s="454"/>
      <c r="I209" s="37" t="s">
        <v>5</v>
      </c>
      <c r="J209" s="36">
        <f>0.58*1.84</f>
        <v>1.0671999999999999</v>
      </c>
    </row>
    <row r="210" spans="1:10" x14ac:dyDescent="0.25">
      <c r="A210" s="93"/>
      <c r="C210" s="454" t="s">
        <v>323</v>
      </c>
      <c r="D210" s="454"/>
      <c r="E210" s="454"/>
      <c r="F210" s="454"/>
      <c r="G210" s="454"/>
      <c r="H210" s="454"/>
      <c r="I210" s="37" t="s">
        <v>5</v>
      </c>
      <c r="J210" s="36">
        <f>0.5*1.84</f>
        <v>0.92</v>
      </c>
    </row>
    <row r="211" spans="1:10" x14ac:dyDescent="0.25">
      <c r="A211" s="93"/>
      <c r="C211" s="454" t="s">
        <v>346</v>
      </c>
      <c r="D211" s="454"/>
      <c r="E211" s="454"/>
      <c r="F211" s="454"/>
      <c r="G211" s="454"/>
      <c r="H211" s="454"/>
      <c r="I211" s="37" t="s">
        <v>5</v>
      </c>
      <c r="J211" s="36">
        <f>0.25*1.84</f>
        <v>0.46</v>
      </c>
    </row>
    <row r="212" spans="1:10" x14ac:dyDescent="0.25">
      <c r="A212" s="93"/>
      <c r="C212" s="454" t="s">
        <v>345</v>
      </c>
      <c r="D212" s="454"/>
      <c r="E212" s="454"/>
      <c r="F212" s="454"/>
      <c r="G212" s="454"/>
      <c r="H212" s="454"/>
      <c r="I212" s="37" t="s">
        <v>5</v>
      </c>
      <c r="J212" s="36">
        <f>0.25*1.84</f>
        <v>0.46</v>
      </c>
    </row>
    <row r="213" spans="1:10" x14ac:dyDescent="0.25">
      <c r="A213" s="93"/>
      <c r="C213" s="454"/>
      <c r="D213" s="454"/>
      <c r="E213" s="454"/>
      <c r="F213" s="454"/>
      <c r="G213" s="454"/>
      <c r="H213" s="454"/>
      <c r="J213" s="36"/>
    </row>
    <row r="214" spans="1:10" ht="30.75" customHeight="1" x14ac:dyDescent="0.25">
      <c r="A214" s="125" t="str">
        <f>'Orçamento '!$A$51</f>
        <v>5.8</v>
      </c>
      <c r="B214" s="126"/>
      <c r="C214" s="460" t="s">
        <v>102</v>
      </c>
      <c r="D214" s="460"/>
      <c r="E214" s="460"/>
      <c r="F214" s="460"/>
      <c r="G214" s="460"/>
      <c r="H214" s="460"/>
      <c r="I214" s="126" t="s">
        <v>5</v>
      </c>
      <c r="J214" s="377">
        <f>SUM(J215:J222)</f>
        <v>71.152799999999985</v>
      </c>
    </row>
    <row r="215" spans="1:10" x14ac:dyDescent="0.25">
      <c r="A215" s="93"/>
      <c r="C215" s="454" t="s">
        <v>316</v>
      </c>
      <c r="D215" s="454"/>
      <c r="E215" s="454"/>
      <c r="F215" s="454"/>
      <c r="G215" s="454"/>
      <c r="H215" s="454"/>
      <c r="I215" s="37" t="s">
        <v>5</v>
      </c>
      <c r="J215" s="36">
        <f>2.72*2.76</f>
        <v>7.5072000000000001</v>
      </c>
    </row>
    <row r="216" spans="1:10" x14ac:dyDescent="0.25">
      <c r="A216" s="93"/>
      <c r="C216" s="454" t="s">
        <v>324</v>
      </c>
      <c r="D216" s="454"/>
      <c r="E216" s="454"/>
      <c r="F216" s="454"/>
      <c r="G216" s="454"/>
      <c r="H216" s="454"/>
      <c r="I216" s="37" t="s">
        <v>5</v>
      </c>
      <c r="J216" s="36">
        <f>2.91*2.76</f>
        <v>8.0315999999999992</v>
      </c>
    </row>
    <row r="217" spans="1:10" x14ac:dyDescent="0.25">
      <c r="A217" s="93"/>
      <c r="C217" s="454" t="s">
        <v>315</v>
      </c>
      <c r="D217" s="454"/>
      <c r="E217" s="454"/>
      <c r="F217" s="454"/>
      <c r="G217" s="454"/>
      <c r="H217" s="454"/>
      <c r="I217" s="37" t="s">
        <v>5</v>
      </c>
      <c r="J217" s="36">
        <f>3*2.76</f>
        <v>8.2799999999999994</v>
      </c>
    </row>
    <row r="218" spans="1:10" x14ac:dyDescent="0.25">
      <c r="A218" s="93"/>
      <c r="C218" s="454" t="s">
        <v>323</v>
      </c>
      <c r="D218" s="454"/>
      <c r="E218" s="454"/>
      <c r="F218" s="454"/>
      <c r="G218" s="454"/>
      <c r="H218" s="454"/>
      <c r="I218" s="37" t="s">
        <v>5</v>
      </c>
      <c r="J218" s="36">
        <f>3*2.76</f>
        <v>8.2799999999999994</v>
      </c>
    </row>
    <row r="219" spans="1:10" x14ac:dyDescent="0.25">
      <c r="A219" s="93"/>
      <c r="C219" s="454" t="s">
        <v>327</v>
      </c>
      <c r="D219" s="454"/>
      <c r="E219" s="454"/>
      <c r="F219" s="454"/>
      <c r="G219" s="454"/>
      <c r="H219" s="454"/>
      <c r="I219" s="37" t="s">
        <v>5</v>
      </c>
      <c r="J219" s="36">
        <f>2*2.76</f>
        <v>5.52</v>
      </c>
    </row>
    <row r="220" spans="1:10" x14ac:dyDescent="0.25">
      <c r="A220" s="93"/>
      <c r="C220" s="454" t="s">
        <v>318</v>
      </c>
      <c r="D220" s="454"/>
      <c r="E220" s="454"/>
      <c r="F220" s="454"/>
      <c r="G220" s="454"/>
      <c r="H220" s="454"/>
      <c r="I220" s="37" t="s">
        <v>5</v>
      </c>
      <c r="J220" s="36">
        <f>(3.08+1.47)*2.76</f>
        <v>12.557999999999998</v>
      </c>
    </row>
    <row r="221" spans="1:10" x14ac:dyDescent="0.25">
      <c r="A221" s="93"/>
      <c r="C221" s="454" t="s">
        <v>319</v>
      </c>
      <c r="D221" s="454"/>
      <c r="E221" s="454"/>
      <c r="F221" s="454"/>
      <c r="G221" s="454"/>
      <c r="H221" s="454"/>
      <c r="I221" s="37" t="s">
        <v>5</v>
      </c>
      <c r="J221" s="36">
        <f>2.73*2.76</f>
        <v>7.5347999999999997</v>
      </c>
    </row>
    <row r="222" spans="1:10" x14ac:dyDescent="0.25">
      <c r="A222" s="93"/>
      <c r="C222" s="454" t="s">
        <v>345</v>
      </c>
      <c r="D222" s="454"/>
      <c r="E222" s="454"/>
      <c r="F222" s="454"/>
      <c r="G222" s="454"/>
      <c r="H222" s="454"/>
      <c r="I222" s="37" t="s">
        <v>5</v>
      </c>
      <c r="J222" s="36">
        <f>(3.47+1.4)*2.76</f>
        <v>13.441199999999998</v>
      </c>
    </row>
    <row r="223" spans="1:10" x14ac:dyDescent="0.25">
      <c r="A223" s="93"/>
      <c r="C223" s="454"/>
      <c r="D223" s="454"/>
      <c r="E223" s="454"/>
      <c r="F223" s="454"/>
      <c r="G223" s="454"/>
      <c r="H223" s="454"/>
      <c r="J223" s="36"/>
    </row>
    <row r="224" spans="1:10" x14ac:dyDescent="0.25">
      <c r="A224" s="125" t="str">
        <f>'Orçamento '!$A$52</f>
        <v>5.9</v>
      </c>
      <c r="B224" s="126"/>
      <c r="C224" s="460" t="s">
        <v>104</v>
      </c>
      <c r="D224" s="460"/>
      <c r="E224" s="460"/>
      <c r="F224" s="460"/>
      <c r="G224" s="460"/>
      <c r="H224" s="460"/>
      <c r="I224" s="126" t="s">
        <v>5</v>
      </c>
      <c r="J224" s="377">
        <f>SUM(J225:J238)</f>
        <v>75.908199999999979</v>
      </c>
    </row>
    <row r="225" spans="1:10" x14ac:dyDescent="0.25">
      <c r="A225" s="93"/>
      <c r="C225" s="454" t="s">
        <v>316</v>
      </c>
      <c r="D225" s="454"/>
      <c r="E225" s="454"/>
      <c r="F225" s="454"/>
      <c r="G225" s="454"/>
      <c r="H225" s="454"/>
      <c r="I225" s="37" t="s">
        <v>5</v>
      </c>
      <c r="J225" s="36">
        <f>2.72*2.76</f>
        <v>7.5072000000000001</v>
      </c>
    </row>
    <row r="226" spans="1:10" x14ac:dyDescent="0.25">
      <c r="A226" s="93"/>
      <c r="C226" s="454" t="s">
        <v>324</v>
      </c>
      <c r="D226" s="454"/>
      <c r="E226" s="454"/>
      <c r="F226" s="454"/>
      <c r="G226" s="454"/>
      <c r="H226" s="454"/>
      <c r="I226" s="37" t="s">
        <v>5</v>
      </c>
      <c r="J226" s="36">
        <f>2.91*2.76</f>
        <v>8.0315999999999992</v>
      </c>
    </row>
    <row r="227" spans="1:10" x14ac:dyDescent="0.25">
      <c r="A227" s="93"/>
      <c r="C227" s="454" t="s">
        <v>315</v>
      </c>
      <c r="D227" s="454"/>
      <c r="E227" s="454"/>
      <c r="F227" s="454"/>
      <c r="G227" s="454"/>
      <c r="H227" s="454"/>
      <c r="I227" s="37" t="s">
        <v>5</v>
      </c>
      <c r="J227" s="36">
        <f>3*2.76</f>
        <v>8.2799999999999994</v>
      </c>
    </row>
    <row r="228" spans="1:10" x14ac:dyDescent="0.25">
      <c r="A228" s="93"/>
      <c r="C228" s="454" t="s">
        <v>323</v>
      </c>
      <c r="D228" s="454"/>
      <c r="E228" s="454"/>
      <c r="F228" s="454"/>
      <c r="G228" s="454"/>
      <c r="H228" s="454"/>
      <c r="I228" s="37" t="s">
        <v>5</v>
      </c>
      <c r="J228" s="36">
        <f>3*2.76</f>
        <v>8.2799999999999994</v>
      </c>
    </row>
    <row r="229" spans="1:10" x14ac:dyDescent="0.25">
      <c r="A229" s="93"/>
      <c r="C229" s="454" t="s">
        <v>327</v>
      </c>
      <c r="D229" s="454"/>
      <c r="E229" s="454"/>
      <c r="F229" s="454"/>
      <c r="G229" s="454"/>
      <c r="H229" s="454"/>
      <c r="I229" s="37" t="s">
        <v>5</v>
      </c>
      <c r="J229" s="36">
        <f>2*2.76</f>
        <v>5.52</v>
      </c>
    </row>
    <row r="230" spans="1:10" x14ac:dyDescent="0.25">
      <c r="A230" s="93"/>
      <c r="C230" s="454" t="s">
        <v>318</v>
      </c>
      <c r="D230" s="454"/>
      <c r="E230" s="454"/>
      <c r="F230" s="454"/>
      <c r="G230" s="454"/>
      <c r="H230" s="454"/>
      <c r="I230" s="37" t="s">
        <v>5</v>
      </c>
      <c r="J230" s="36">
        <f>(3.08+1.47)*2.76</f>
        <v>12.557999999999998</v>
      </c>
    </row>
    <row r="231" spans="1:10" x14ac:dyDescent="0.25">
      <c r="A231" s="93"/>
      <c r="C231" s="454" t="s">
        <v>319</v>
      </c>
      <c r="D231" s="454"/>
      <c r="E231" s="454"/>
      <c r="F231" s="454"/>
      <c r="G231" s="454"/>
      <c r="H231" s="454"/>
      <c r="I231" s="37" t="s">
        <v>5</v>
      </c>
      <c r="J231" s="36">
        <f>2.73*2.76</f>
        <v>7.5347999999999997</v>
      </c>
    </row>
    <row r="232" spans="1:10" x14ac:dyDescent="0.25">
      <c r="A232" s="93"/>
      <c r="C232" s="454" t="s">
        <v>345</v>
      </c>
      <c r="D232" s="454"/>
      <c r="E232" s="454"/>
      <c r="F232" s="454"/>
      <c r="G232" s="454"/>
      <c r="H232" s="454"/>
      <c r="I232" s="37" t="s">
        <v>5</v>
      </c>
      <c r="J232" s="36">
        <f>(3.47+1.4)*2.76</f>
        <v>13.441199999999998</v>
      </c>
    </row>
    <row r="233" spans="1:10" x14ac:dyDescent="0.25">
      <c r="A233" s="93"/>
      <c r="C233" s="454"/>
      <c r="D233" s="454"/>
      <c r="E233" s="454"/>
      <c r="F233" s="454"/>
      <c r="G233" s="454"/>
      <c r="H233" s="454"/>
      <c r="J233" s="36"/>
    </row>
    <row r="234" spans="1:10" x14ac:dyDescent="0.25">
      <c r="A234" s="93"/>
      <c r="C234" s="454" t="s">
        <v>347</v>
      </c>
      <c r="D234" s="454"/>
      <c r="E234" s="454"/>
      <c r="F234" s="454"/>
      <c r="G234" s="454"/>
      <c r="H234" s="454"/>
      <c r="I234" s="37" t="s">
        <v>5</v>
      </c>
      <c r="J234" s="36">
        <f>2.84*(2.76-2.5)</f>
        <v>0.73839999999999939</v>
      </c>
    </row>
    <row r="235" spans="1:10" x14ac:dyDescent="0.25">
      <c r="A235" s="93"/>
      <c r="C235" s="454" t="s">
        <v>348</v>
      </c>
      <c r="D235" s="454"/>
      <c r="E235" s="454"/>
      <c r="F235" s="454"/>
      <c r="G235" s="454"/>
      <c r="H235" s="454"/>
      <c r="I235" s="37" t="s">
        <v>5</v>
      </c>
      <c r="J235" s="36">
        <f>3.15*0.26</f>
        <v>0.81899999999999995</v>
      </c>
    </row>
    <row r="236" spans="1:10" x14ac:dyDescent="0.25">
      <c r="A236" s="93"/>
      <c r="C236" s="454" t="s">
        <v>349</v>
      </c>
      <c r="D236" s="454"/>
      <c r="E236" s="454"/>
      <c r="F236" s="454"/>
      <c r="G236" s="454"/>
      <c r="H236" s="454"/>
      <c r="I236" s="37" t="s">
        <v>5</v>
      </c>
      <c r="J236" s="36">
        <f>3.64*0.26</f>
        <v>0.94640000000000002</v>
      </c>
    </row>
    <row r="237" spans="1:10" x14ac:dyDescent="0.25">
      <c r="A237" s="93"/>
      <c r="C237" s="454" t="s">
        <v>350</v>
      </c>
      <c r="D237" s="454"/>
      <c r="E237" s="454"/>
      <c r="F237" s="454"/>
      <c r="G237" s="454"/>
      <c r="H237" s="454"/>
      <c r="I237" s="37" t="s">
        <v>5</v>
      </c>
      <c r="J237" s="36">
        <f>3.64*0.26</f>
        <v>0.94640000000000002</v>
      </c>
    </row>
    <row r="238" spans="1:10" x14ac:dyDescent="0.25">
      <c r="A238" s="93"/>
      <c r="C238" s="454" t="s">
        <v>351</v>
      </c>
      <c r="D238" s="454"/>
      <c r="E238" s="454"/>
      <c r="F238" s="454"/>
      <c r="G238" s="454"/>
      <c r="H238" s="454"/>
      <c r="I238" s="37" t="s">
        <v>5</v>
      </c>
      <c r="J238" s="36">
        <f>(3.53+1.49)*0.26</f>
        <v>1.3051999999999999</v>
      </c>
    </row>
    <row r="239" spans="1:10" x14ac:dyDescent="0.25">
      <c r="A239" s="93"/>
      <c r="C239" s="454"/>
      <c r="D239" s="454"/>
      <c r="E239" s="454"/>
      <c r="F239" s="454"/>
      <c r="G239" s="454"/>
      <c r="H239" s="454"/>
      <c r="J239" s="36"/>
    </row>
    <row r="240" spans="1:10" x14ac:dyDescent="0.25">
      <c r="A240" s="125" t="str">
        <f>'Orçamento '!$A$53</f>
        <v>5.10</v>
      </c>
      <c r="B240" s="126"/>
      <c r="C240" s="460" t="s">
        <v>297</v>
      </c>
      <c r="D240" s="460"/>
      <c r="E240" s="460"/>
      <c r="F240" s="460"/>
      <c r="G240" s="460"/>
      <c r="H240" s="460"/>
      <c r="I240" s="126" t="s">
        <v>308</v>
      </c>
      <c r="J240" s="377">
        <f>SUM(J241:J246)</f>
        <v>27.56</v>
      </c>
    </row>
    <row r="241" spans="1:10" x14ac:dyDescent="0.25">
      <c r="A241" s="93"/>
      <c r="C241" s="454" t="s">
        <v>316</v>
      </c>
      <c r="D241" s="454"/>
      <c r="E241" s="454"/>
      <c r="F241" s="454"/>
      <c r="G241" s="454"/>
      <c r="H241" s="454"/>
      <c r="I241" s="37" t="s">
        <v>308</v>
      </c>
      <c r="J241" s="36">
        <f>0.25*2+1.84*2</f>
        <v>4.18</v>
      </c>
    </row>
    <row r="242" spans="1:10" x14ac:dyDescent="0.25">
      <c r="A242" s="93"/>
      <c r="C242" s="454" t="s">
        <v>313</v>
      </c>
      <c r="D242" s="454"/>
      <c r="E242" s="454"/>
      <c r="F242" s="454"/>
      <c r="G242" s="454"/>
      <c r="H242" s="454"/>
      <c r="I242" s="37" t="s">
        <v>308</v>
      </c>
      <c r="J242" s="36">
        <f>(0.25+0.66)*2+1.84*2</f>
        <v>5.5</v>
      </c>
    </row>
    <row r="243" spans="1:10" x14ac:dyDescent="0.25">
      <c r="A243" s="93"/>
      <c r="C243" s="454" t="s">
        <v>315</v>
      </c>
      <c r="D243" s="454"/>
      <c r="E243" s="454"/>
      <c r="F243" s="454"/>
      <c r="G243" s="454"/>
      <c r="H243" s="454"/>
      <c r="I243" s="37" t="s">
        <v>308</v>
      </c>
      <c r="J243" s="36">
        <f>0.58*2+1.84*2</f>
        <v>4.84</v>
      </c>
    </row>
    <row r="244" spans="1:10" x14ac:dyDescent="0.25">
      <c r="A244" s="93"/>
      <c r="C244" s="454" t="s">
        <v>323</v>
      </c>
      <c r="D244" s="454"/>
      <c r="E244" s="454"/>
      <c r="F244" s="454"/>
      <c r="G244" s="454"/>
      <c r="H244" s="454"/>
      <c r="I244" s="37" t="s">
        <v>308</v>
      </c>
      <c r="J244" s="36">
        <f>0.5*2+1.84*2</f>
        <v>4.68</v>
      </c>
    </row>
    <row r="245" spans="1:10" x14ac:dyDescent="0.25">
      <c r="A245" s="93"/>
      <c r="C245" s="454" t="s">
        <v>346</v>
      </c>
      <c r="D245" s="454"/>
      <c r="E245" s="454"/>
      <c r="F245" s="454"/>
      <c r="G245" s="454"/>
      <c r="H245" s="454"/>
      <c r="I245" s="37" t="s">
        <v>308</v>
      </c>
      <c r="J245" s="36">
        <f>0.25*2+1.84*2</f>
        <v>4.18</v>
      </c>
    </row>
    <row r="246" spans="1:10" x14ac:dyDescent="0.25">
      <c r="A246" s="93"/>
      <c r="C246" s="454" t="s">
        <v>345</v>
      </c>
      <c r="D246" s="454"/>
      <c r="E246" s="454"/>
      <c r="F246" s="454"/>
      <c r="G246" s="454"/>
      <c r="H246" s="454"/>
      <c r="I246" s="37" t="s">
        <v>308</v>
      </c>
      <c r="J246" s="36">
        <f>0.25*2+1.84*2</f>
        <v>4.18</v>
      </c>
    </row>
    <row r="247" spans="1:10" x14ac:dyDescent="0.25">
      <c r="A247" s="93"/>
      <c r="C247" s="454"/>
      <c r="D247" s="454"/>
      <c r="E247" s="454"/>
      <c r="F247" s="454"/>
      <c r="G247" s="454"/>
      <c r="H247" s="454"/>
      <c r="J247" s="36"/>
    </row>
    <row r="248" spans="1:10" x14ac:dyDescent="0.25">
      <c r="A248" s="125" t="str">
        <f>'Orçamento '!$A$54</f>
        <v>5.11</v>
      </c>
      <c r="B248" s="126"/>
      <c r="C248" s="460" t="str">
        <f>'Orçamento '!$D$54</f>
        <v>SÉPTOS COM PLACAS DE GESSO ACARTONADO (DRYWALL), PARA USO INTERNO, COM DUAS FACES DUPLAS E ESTRUTURA METÁLICA COM GUIAS SIMPLES.</v>
      </c>
      <c r="D248" s="460"/>
      <c r="E248" s="460"/>
      <c r="F248" s="460"/>
      <c r="G248" s="460"/>
      <c r="H248" s="460"/>
      <c r="I248" s="126" t="s">
        <v>5</v>
      </c>
      <c r="J248" s="377">
        <f>SUM(J249:J253)</f>
        <v>4.7553999999999998</v>
      </c>
    </row>
    <row r="249" spans="1:10" x14ac:dyDescent="0.25">
      <c r="A249" s="93"/>
      <c r="C249" s="454" t="s">
        <v>316</v>
      </c>
      <c r="D249" s="454"/>
      <c r="E249" s="454"/>
      <c r="F249" s="454"/>
      <c r="G249" s="454"/>
      <c r="H249" s="454"/>
      <c r="I249" s="37" t="s">
        <v>5</v>
      </c>
      <c r="J249" s="36">
        <f>2.84*(2.76-2.5)</f>
        <v>0.73839999999999939</v>
      </c>
    </row>
    <row r="250" spans="1:10" x14ac:dyDescent="0.25">
      <c r="A250" s="93"/>
      <c r="C250" s="454" t="s">
        <v>324</v>
      </c>
      <c r="D250" s="454"/>
      <c r="E250" s="454"/>
      <c r="F250" s="454"/>
      <c r="G250" s="454"/>
      <c r="H250" s="454"/>
      <c r="I250" s="37" t="s">
        <v>5</v>
      </c>
      <c r="J250" s="36">
        <f>3.15*0.26</f>
        <v>0.81899999999999995</v>
      </c>
    </row>
    <row r="251" spans="1:10" x14ac:dyDescent="0.25">
      <c r="A251" s="93"/>
      <c r="C251" s="454" t="s">
        <v>315</v>
      </c>
      <c r="D251" s="454"/>
      <c r="E251" s="454"/>
      <c r="F251" s="454"/>
      <c r="G251" s="454"/>
      <c r="H251" s="454"/>
      <c r="I251" s="37" t="s">
        <v>5</v>
      </c>
      <c r="J251" s="36">
        <f>3.64*0.26</f>
        <v>0.94640000000000002</v>
      </c>
    </row>
    <row r="252" spans="1:10" x14ac:dyDescent="0.25">
      <c r="A252" s="93"/>
      <c r="C252" s="454" t="s">
        <v>323</v>
      </c>
      <c r="D252" s="454"/>
      <c r="E252" s="454"/>
      <c r="F252" s="454"/>
      <c r="G252" s="454"/>
      <c r="H252" s="454"/>
      <c r="I252" s="37" t="s">
        <v>5</v>
      </c>
      <c r="J252" s="36">
        <f>3.64*0.26</f>
        <v>0.94640000000000002</v>
      </c>
    </row>
    <row r="253" spans="1:10" x14ac:dyDescent="0.25">
      <c r="A253" s="93"/>
      <c r="C253" s="454" t="s">
        <v>321</v>
      </c>
      <c r="D253" s="454"/>
      <c r="E253" s="454"/>
      <c r="F253" s="454"/>
      <c r="G253" s="454"/>
      <c r="H253" s="454"/>
      <c r="I253" s="37" t="s">
        <v>5</v>
      </c>
      <c r="J253" s="36">
        <f>(3.53+1.49)*0.26</f>
        <v>1.3051999999999999</v>
      </c>
    </row>
    <row r="254" spans="1:10" ht="15.75" thickBot="1" x14ac:dyDescent="0.3">
      <c r="A254" s="93"/>
      <c r="C254" s="454"/>
      <c r="D254" s="454"/>
      <c r="E254" s="454"/>
      <c r="F254" s="454"/>
      <c r="G254" s="454"/>
      <c r="H254" s="454"/>
      <c r="J254" s="36"/>
    </row>
    <row r="255" spans="1:10" ht="15.75" thickBot="1" x14ac:dyDescent="0.3">
      <c r="A255" s="122">
        <v>6</v>
      </c>
      <c r="B255" s="123"/>
      <c r="C255" s="461" t="s">
        <v>138</v>
      </c>
      <c r="D255" s="461"/>
      <c r="E255" s="461"/>
      <c r="F255" s="461"/>
      <c r="G255" s="461"/>
      <c r="H255" s="461"/>
      <c r="I255" s="123"/>
      <c r="J255" s="124"/>
    </row>
    <row r="256" spans="1:10" ht="44.25" customHeight="1" x14ac:dyDescent="0.25">
      <c r="A256" s="125" t="s">
        <v>57</v>
      </c>
      <c r="B256" s="126"/>
      <c r="C256" s="460" t="str">
        <f>'Orçamento '!$D$57</f>
        <v>PISO VINÍLICO EM PLACA 30x30cM COM ESPESSURA 2MM. PAVIFLEX NATURAL COLEÇÃO THRU. COR 668 ARENITO. REF. TARKETT</v>
      </c>
      <c r="D256" s="460"/>
      <c r="E256" s="460"/>
      <c r="F256" s="460"/>
      <c r="G256" s="460"/>
      <c r="H256" s="460"/>
      <c r="I256" s="126" t="s">
        <v>5</v>
      </c>
      <c r="J256" s="377">
        <f>SUM(J257:J272)</f>
        <v>373.54000000000008</v>
      </c>
    </row>
    <row r="257" spans="1:10" x14ac:dyDescent="0.25">
      <c r="A257" s="93"/>
      <c r="C257" s="454" t="s">
        <v>316</v>
      </c>
      <c r="D257" s="454"/>
      <c r="E257" s="454"/>
      <c r="F257" s="454"/>
      <c r="G257" s="454"/>
      <c r="H257" s="454"/>
      <c r="I257" s="37" t="s">
        <v>5</v>
      </c>
      <c r="J257" s="36">
        <v>7.42</v>
      </c>
    </row>
    <row r="258" spans="1:10" x14ac:dyDescent="0.25">
      <c r="A258" s="93"/>
      <c r="C258" s="454" t="s">
        <v>313</v>
      </c>
      <c r="D258" s="454"/>
      <c r="E258" s="454"/>
      <c r="F258" s="454"/>
      <c r="G258" s="454"/>
      <c r="H258" s="454"/>
      <c r="I258" s="37" t="s">
        <v>5</v>
      </c>
      <c r="J258" s="36">
        <v>48.17</v>
      </c>
    </row>
    <row r="259" spans="1:10" x14ac:dyDescent="0.25">
      <c r="A259" s="93"/>
      <c r="C259" s="454" t="s">
        <v>324</v>
      </c>
      <c r="D259" s="454"/>
      <c r="E259" s="454"/>
      <c r="F259" s="454"/>
      <c r="G259" s="454"/>
      <c r="H259" s="454"/>
      <c r="I259" s="37" t="s">
        <v>5</v>
      </c>
      <c r="J259" s="36">
        <v>9.48</v>
      </c>
    </row>
    <row r="260" spans="1:10" x14ac:dyDescent="0.25">
      <c r="A260" s="93"/>
      <c r="C260" s="454" t="s">
        <v>314</v>
      </c>
      <c r="D260" s="454"/>
      <c r="E260" s="454"/>
      <c r="F260" s="454"/>
      <c r="G260" s="454"/>
      <c r="H260" s="454"/>
      <c r="I260" s="37" t="s">
        <v>5</v>
      </c>
      <c r="J260" s="36">
        <v>82.51</v>
      </c>
    </row>
    <row r="261" spans="1:10" x14ac:dyDescent="0.25">
      <c r="A261" s="93"/>
      <c r="C261" s="454" t="s">
        <v>315</v>
      </c>
      <c r="D261" s="454"/>
      <c r="E261" s="454"/>
      <c r="F261" s="454"/>
      <c r="G261" s="454"/>
      <c r="H261" s="454"/>
      <c r="I261" s="37" t="s">
        <v>5</v>
      </c>
      <c r="J261" s="36">
        <v>10.94</v>
      </c>
    </row>
    <row r="262" spans="1:10" x14ac:dyDescent="0.25">
      <c r="A262" s="93"/>
      <c r="C262" s="454" t="s">
        <v>323</v>
      </c>
      <c r="D262" s="454"/>
      <c r="E262" s="454"/>
      <c r="F262" s="454"/>
      <c r="G262" s="454"/>
      <c r="H262" s="454"/>
      <c r="I262" s="37" t="s">
        <v>5</v>
      </c>
      <c r="J262" s="36">
        <v>11.14</v>
      </c>
    </row>
    <row r="263" spans="1:10" x14ac:dyDescent="0.25">
      <c r="A263" s="93"/>
      <c r="C263" s="454" t="s">
        <v>317</v>
      </c>
      <c r="D263" s="454"/>
      <c r="E263" s="454"/>
      <c r="F263" s="454"/>
      <c r="G263" s="454"/>
      <c r="H263" s="454"/>
      <c r="I263" s="37" t="s">
        <v>5</v>
      </c>
      <c r="J263" s="36">
        <v>25.45</v>
      </c>
    </row>
    <row r="264" spans="1:10" x14ac:dyDescent="0.25">
      <c r="A264" s="93"/>
      <c r="C264" s="454" t="s">
        <v>325</v>
      </c>
      <c r="D264" s="454"/>
      <c r="E264" s="454"/>
      <c r="F264" s="454"/>
      <c r="G264" s="454"/>
      <c r="H264" s="454"/>
      <c r="I264" s="37" t="s">
        <v>5</v>
      </c>
      <c r="J264" s="36">
        <v>10.84</v>
      </c>
    </row>
    <row r="265" spans="1:10" x14ac:dyDescent="0.25">
      <c r="A265" s="93"/>
      <c r="C265" s="454" t="s">
        <v>326</v>
      </c>
      <c r="D265" s="454"/>
      <c r="E265" s="454"/>
      <c r="F265" s="454"/>
      <c r="G265" s="454"/>
      <c r="H265" s="454"/>
      <c r="I265" s="37" t="s">
        <v>5</v>
      </c>
      <c r="J265" s="36">
        <v>71.75</v>
      </c>
    </row>
    <row r="266" spans="1:10" x14ac:dyDescent="0.25">
      <c r="A266" s="93"/>
      <c r="C266" s="454" t="s">
        <v>327</v>
      </c>
      <c r="D266" s="454"/>
      <c r="E266" s="454"/>
      <c r="F266" s="454"/>
      <c r="G266" s="454"/>
      <c r="H266" s="454"/>
      <c r="I266" s="37" t="s">
        <v>5</v>
      </c>
      <c r="J266" s="36">
        <v>5</v>
      </c>
    </row>
    <row r="267" spans="1:10" x14ac:dyDescent="0.25">
      <c r="A267" s="93"/>
      <c r="C267" s="454" t="s">
        <v>318</v>
      </c>
      <c r="D267" s="454"/>
      <c r="E267" s="454"/>
      <c r="F267" s="454"/>
      <c r="G267" s="454"/>
      <c r="H267" s="454"/>
      <c r="I267" s="37" t="s">
        <v>5</v>
      </c>
      <c r="J267" s="36">
        <v>16.73</v>
      </c>
    </row>
    <row r="268" spans="1:10" x14ac:dyDescent="0.25">
      <c r="A268" s="93"/>
      <c r="C268" s="454" t="s">
        <v>319</v>
      </c>
      <c r="D268" s="454"/>
      <c r="E268" s="454"/>
      <c r="F268" s="454"/>
      <c r="G268" s="454"/>
      <c r="H268" s="454"/>
      <c r="I268" s="37" t="s">
        <v>5</v>
      </c>
      <c r="J268" s="36">
        <v>8.61</v>
      </c>
    </row>
    <row r="269" spans="1:10" x14ac:dyDescent="0.25">
      <c r="A269" s="93"/>
      <c r="C269" s="454" t="s">
        <v>320</v>
      </c>
      <c r="D269" s="454"/>
      <c r="E269" s="454"/>
      <c r="F269" s="454"/>
      <c r="G269" s="454"/>
      <c r="H269" s="454"/>
      <c r="I269" s="37" t="s">
        <v>5</v>
      </c>
      <c r="J269" s="36">
        <v>27.23</v>
      </c>
    </row>
    <row r="270" spans="1:10" x14ac:dyDescent="0.25">
      <c r="A270" s="93"/>
      <c r="C270" s="454" t="s">
        <v>321</v>
      </c>
      <c r="D270" s="454"/>
      <c r="E270" s="454"/>
      <c r="F270" s="454"/>
      <c r="G270" s="454"/>
      <c r="H270" s="454"/>
      <c r="I270" s="37" t="s">
        <v>5</v>
      </c>
      <c r="J270" s="36">
        <v>9.8800000000000008</v>
      </c>
    </row>
    <row r="271" spans="1:10" x14ac:dyDescent="0.25">
      <c r="A271" s="93"/>
      <c r="C271" s="454" t="s">
        <v>322</v>
      </c>
      <c r="D271" s="454"/>
      <c r="E271" s="454"/>
      <c r="F271" s="454"/>
      <c r="G271" s="454"/>
      <c r="H271" s="454"/>
      <c r="I271" s="37" t="s">
        <v>5</v>
      </c>
      <c r="J271" s="36">
        <v>28.39</v>
      </c>
    </row>
    <row r="272" spans="1:10" x14ac:dyDescent="0.25">
      <c r="A272" s="93"/>
      <c r="C272" s="454"/>
      <c r="D272" s="454"/>
      <c r="E272" s="454"/>
      <c r="F272" s="454"/>
      <c r="G272" s="454"/>
      <c r="H272" s="454"/>
      <c r="J272" s="36"/>
    </row>
    <row r="273" spans="1:10" x14ac:dyDescent="0.25">
      <c r="A273" s="125" t="s">
        <v>58</v>
      </c>
      <c r="B273" s="126"/>
      <c r="C273" s="460" t="str">
        <f>'Orçamento '!$D$58</f>
        <v>REINSTALAÇÃO DE RODAPÉ EM MADEIRA IPÊ COM VERNIZ MARÍTIMO IPÊ. h=7cM - MATERIAL REAPROVEITADO  (INCLUSO APLICAÇÃO DE VERNIZ)</v>
      </c>
      <c r="D273" s="460"/>
      <c r="E273" s="460"/>
      <c r="F273" s="460"/>
      <c r="G273" s="460"/>
      <c r="H273" s="460"/>
      <c r="I273" s="126" t="s">
        <v>308</v>
      </c>
      <c r="J273" s="377">
        <f>SUM(J274:J289)</f>
        <v>310.29999999999995</v>
      </c>
    </row>
    <row r="274" spans="1:10" x14ac:dyDescent="0.25">
      <c r="A274" s="93"/>
      <c r="C274" s="454" t="s">
        <v>316</v>
      </c>
      <c r="D274" s="454"/>
      <c r="E274" s="454"/>
      <c r="F274" s="454"/>
      <c r="G274" s="454"/>
      <c r="H274" s="454"/>
      <c r="I274" s="37" t="s">
        <v>308</v>
      </c>
      <c r="J274" s="36">
        <f>2.62*2+2.84</f>
        <v>8.08</v>
      </c>
    </row>
    <row r="275" spans="1:10" x14ac:dyDescent="0.25">
      <c r="A275" s="93"/>
      <c r="C275" s="454" t="s">
        <v>313</v>
      </c>
      <c r="D275" s="454"/>
      <c r="E275" s="454"/>
      <c r="F275" s="454"/>
      <c r="G275" s="454"/>
      <c r="H275" s="454"/>
      <c r="I275" s="37" t="s">
        <v>308</v>
      </c>
      <c r="J275" s="36">
        <v>31.07</v>
      </c>
    </row>
    <row r="276" spans="1:10" x14ac:dyDescent="0.25">
      <c r="A276" s="93"/>
      <c r="C276" s="454" t="s">
        <v>324</v>
      </c>
      <c r="D276" s="454"/>
      <c r="E276" s="454"/>
      <c r="F276" s="454"/>
      <c r="G276" s="454"/>
      <c r="H276" s="454"/>
      <c r="I276" s="37" t="s">
        <v>308</v>
      </c>
      <c r="J276" s="36">
        <f>2.81*2+0.6*2+3.15</f>
        <v>9.9700000000000006</v>
      </c>
    </row>
    <row r="277" spans="1:10" x14ac:dyDescent="0.25">
      <c r="A277" s="93"/>
      <c r="C277" s="454" t="s">
        <v>314</v>
      </c>
      <c r="D277" s="454"/>
      <c r="E277" s="454"/>
      <c r="F277" s="454"/>
      <c r="G277" s="454"/>
      <c r="H277" s="454"/>
      <c r="I277" s="37" t="s">
        <v>308</v>
      </c>
      <c r="J277" s="36">
        <f>2.98+10.84+29.63</f>
        <v>43.45</v>
      </c>
    </row>
    <row r="278" spans="1:10" x14ac:dyDescent="0.25">
      <c r="A278" s="93"/>
      <c r="C278" s="454" t="s">
        <v>315</v>
      </c>
      <c r="D278" s="454"/>
      <c r="E278" s="454"/>
      <c r="F278" s="454"/>
      <c r="G278" s="454"/>
      <c r="H278" s="454"/>
      <c r="I278" s="37" t="s">
        <v>308</v>
      </c>
      <c r="J278" s="36">
        <f>2.76*2+3.64+0.6*2</f>
        <v>10.36</v>
      </c>
    </row>
    <row r="279" spans="1:10" x14ac:dyDescent="0.25">
      <c r="A279" s="93"/>
      <c r="C279" s="454" t="s">
        <v>323</v>
      </c>
      <c r="D279" s="454"/>
      <c r="E279" s="454"/>
      <c r="F279" s="454"/>
      <c r="G279" s="454"/>
      <c r="H279" s="454"/>
      <c r="I279" s="37" t="s">
        <v>308</v>
      </c>
      <c r="J279" s="36">
        <f>4.28+0.6+2.85*2</f>
        <v>10.58</v>
      </c>
    </row>
    <row r="280" spans="1:10" x14ac:dyDescent="0.25">
      <c r="A280" s="93"/>
      <c r="C280" s="454" t="s">
        <v>317</v>
      </c>
      <c r="D280" s="454"/>
      <c r="E280" s="454"/>
      <c r="F280" s="454"/>
      <c r="G280" s="454"/>
      <c r="H280" s="454"/>
      <c r="I280" s="37" t="s">
        <v>308</v>
      </c>
      <c r="J280" s="36">
        <f>3.77*2+3.81</f>
        <v>11.35</v>
      </c>
    </row>
    <row r="281" spans="1:10" x14ac:dyDescent="0.25">
      <c r="A281" s="93"/>
      <c r="C281" s="454" t="s">
        <v>325</v>
      </c>
      <c r="D281" s="454"/>
      <c r="E281" s="454"/>
      <c r="F281" s="454"/>
      <c r="G281" s="454"/>
      <c r="H281" s="454"/>
      <c r="I281" s="37" t="s">
        <v>308</v>
      </c>
      <c r="J281" s="36">
        <f>3.81+2.73*2+0.6*2</f>
        <v>10.469999999999999</v>
      </c>
    </row>
    <row r="282" spans="1:10" x14ac:dyDescent="0.25">
      <c r="A282" s="93"/>
      <c r="C282" s="454" t="s">
        <v>326</v>
      </c>
      <c r="D282" s="454"/>
      <c r="E282" s="454"/>
      <c r="F282" s="454"/>
      <c r="G282" s="454"/>
      <c r="H282" s="454"/>
      <c r="I282" s="37" t="s">
        <v>308</v>
      </c>
      <c r="J282" s="36">
        <f>65.09+6.13</f>
        <v>71.22</v>
      </c>
    </row>
    <row r="283" spans="1:10" x14ac:dyDescent="0.25">
      <c r="A283" s="93"/>
      <c r="C283" s="454" t="s">
        <v>327</v>
      </c>
      <c r="D283" s="454"/>
      <c r="E283" s="454"/>
      <c r="F283" s="454"/>
      <c r="G283" s="454"/>
      <c r="H283" s="454"/>
      <c r="I283" s="37" t="s">
        <v>308</v>
      </c>
      <c r="J283" s="36">
        <f>2.5*2+2*2</f>
        <v>9</v>
      </c>
    </row>
    <row r="284" spans="1:10" x14ac:dyDescent="0.25">
      <c r="A284" s="93"/>
      <c r="C284" s="454" t="s">
        <v>318</v>
      </c>
      <c r="D284" s="454"/>
      <c r="E284" s="454"/>
      <c r="F284" s="454"/>
      <c r="G284" s="454"/>
      <c r="H284" s="454"/>
      <c r="I284" s="37" t="s">
        <v>308</v>
      </c>
      <c r="J284" s="36">
        <f>6.59*2+2.59*2</f>
        <v>18.36</v>
      </c>
    </row>
    <row r="285" spans="1:10" x14ac:dyDescent="0.25">
      <c r="A285" s="93"/>
      <c r="C285" s="454" t="s">
        <v>319</v>
      </c>
      <c r="D285" s="454"/>
      <c r="E285" s="454"/>
      <c r="F285" s="454"/>
      <c r="G285" s="454"/>
      <c r="H285" s="454"/>
      <c r="I285" s="37" t="s">
        <v>308</v>
      </c>
      <c r="J285" s="36">
        <f>2.73*2+3.17*2</f>
        <v>11.8</v>
      </c>
    </row>
    <row r="286" spans="1:10" x14ac:dyDescent="0.25">
      <c r="A286" s="93"/>
      <c r="C286" s="454" t="s">
        <v>320</v>
      </c>
      <c r="D286" s="454"/>
      <c r="E286" s="454"/>
      <c r="F286" s="454"/>
      <c r="G286" s="454"/>
      <c r="H286" s="454"/>
      <c r="I286" s="37" t="s">
        <v>308</v>
      </c>
      <c r="J286" s="36">
        <f>5.44+4.37+5.94+1.83</f>
        <v>17.579999999999998</v>
      </c>
    </row>
    <row r="287" spans="1:10" x14ac:dyDescent="0.25">
      <c r="A287" s="93"/>
      <c r="C287" s="454" t="s">
        <v>321</v>
      </c>
      <c r="D287" s="454"/>
      <c r="E287" s="454"/>
      <c r="F287" s="454"/>
      <c r="G287" s="454"/>
      <c r="H287" s="454"/>
      <c r="I287" s="37" t="s">
        <v>308</v>
      </c>
      <c r="J287" s="36">
        <f>8.27</f>
        <v>8.27</v>
      </c>
    </row>
    <row r="288" spans="1:10" x14ac:dyDescent="0.25">
      <c r="A288" s="93"/>
      <c r="C288" s="454" t="s">
        <v>322</v>
      </c>
      <c r="D288" s="454"/>
      <c r="E288" s="454"/>
      <c r="F288" s="454"/>
      <c r="G288" s="454"/>
      <c r="H288" s="454"/>
      <c r="I288" s="37" t="s">
        <v>308</v>
      </c>
      <c r="J288" s="36">
        <f>4.67*2+7.15*2</f>
        <v>23.64</v>
      </c>
    </row>
    <row r="289" spans="1:15" x14ac:dyDescent="0.25">
      <c r="A289" s="93"/>
      <c r="C289" s="454" t="s">
        <v>355</v>
      </c>
      <c r="D289" s="454"/>
      <c r="E289" s="454"/>
      <c r="F289" s="454"/>
      <c r="G289" s="454"/>
      <c r="H289" s="454"/>
      <c r="I289" s="37" t="s">
        <v>308</v>
      </c>
      <c r="J289" s="36">
        <f>(5.94*2+1.61*2)</f>
        <v>15.100000000000001</v>
      </c>
    </row>
    <row r="290" spans="1:15" ht="15.75" thickBot="1" x14ac:dyDescent="0.3">
      <c r="A290" s="93"/>
      <c r="C290" s="454"/>
      <c r="D290" s="454"/>
      <c r="E290" s="454"/>
      <c r="F290" s="454"/>
      <c r="G290" s="454"/>
      <c r="H290" s="454"/>
      <c r="J290" s="36"/>
    </row>
    <row r="291" spans="1:15" ht="15.75" thickBot="1" x14ac:dyDescent="0.3">
      <c r="A291" s="122">
        <v>7</v>
      </c>
      <c r="B291" s="123"/>
      <c r="C291" s="461" t="s">
        <v>151</v>
      </c>
      <c r="D291" s="461"/>
      <c r="E291" s="461"/>
      <c r="F291" s="461"/>
      <c r="G291" s="461"/>
      <c r="H291" s="461"/>
      <c r="I291" s="123"/>
      <c r="J291" s="124"/>
    </row>
    <row r="292" spans="1:15" x14ac:dyDescent="0.25">
      <c r="A292" s="93"/>
      <c r="C292" s="454"/>
      <c r="D292" s="454"/>
      <c r="E292" s="454"/>
      <c r="F292" s="454"/>
      <c r="G292" s="454"/>
      <c r="H292" s="454"/>
      <c r="J292" s="36"/>
    </row>
    <row r="293" spans="1:15" x14ac:dyDescent="0.25">
      <c r="A293" s="125" t="s">
        <v>485</v>
      </c>
      <c r="B293" s="126"/>
      <c r="C293" s="460" t="str">
        <f>'Orçamento '!D62</f>
        <v>QUEBRA EM ALVENARIA PARA INSTALAÇÃO DE CAIXA DE TOMADA (4X4 OU 4X2). AF_05/2015</v>
      </c>
      <c r="D293" s="460"/>
      <c r="E293" s="460"/>
      <c r="F293" s="460"/>
      <c r="G293" s="460"/>
      <c r="H293" s="460"/>
      <c r="I293" s="120" t="s">
        <v>753</v>
      </c>
      <c r="J293" s="377">
        <f>SUM(J294:J294)</f>
        <v>78</v>
      </c>
    </row>
    <row r="294" spans="1:15" ht="15" customHeight="1" x14ac:dyDescent="0.25">
      <c r="A294" s="379"/>
      <c r="B294" s="380"/>
      <c r="C294" s="454" t="s">
        <v>804</v>
      </c>
      <c r="D294" s="454"/>
      <c r="E294" s="454"/>
      <c r="F294" s="454"/>
      <c r="G294" s="454"/>
      <c r="H294" s="454"/>
      <c r="I294" s="37" t="s">
        <v>753</v>
      </c>
      <c r="J294" s="36">
        <v>78</v>
      </c>
      <c r="K294" s="454"/>
      <c r="L294" s="454"/>
      <c r="M294" s="454"/>
      <c r="N294" s="454"/>
      <c r="O294" s="454"/>
    </row>
    <row r="295" spans="1:15" x14ac:dyDescent="0.25">
      <c r="A295" s="455"/>
      <c r="B295" s="454"/>
      <c r="C295" s="454"/>
      <c r="D295" s="454"/>
      <c r="E295" s="454"/>
      <c r="F295" s="454"/>
      <c r="G295" s="454"/>
      <c r="H295" s="454"/>
      <c r="I295" s="454"/>
      <c r="J295" s="456"/>
    </row>
    <row r="296" spans="1:15" x14ac:dyDescent="0.25">
      <c r="A296" s="125" t="s">
        <v>486</v>
      </c>
      <c r="B296" s="126"/>
      <c r="C296" s="460" t="str">
        <f>'Orçamento '!D63</f>
        <v>QUEBRA EM ALVENARIA PARA INSTALAÇÃO DE QUADRO DISTRIBUIÇÃO GRANDE (76X40 CM). AF_05/201</v>
      </c>
      <c r="D296" s="460"/>
      <c r="E296" s="460"/>
      <c r="F296" s="460"/>
      <c r="G296" s="460"/>
      <c r="H296" s="460"/>
      <c r="I296" s="120" t="s">
        <v>753</v>
      </c>
      <c r="J296" s="377">
        <f>SUM(J297:J297)</f>
        <v>1</v>
      </c>
    </row>
    <row r="297" spans="1:15" ht="15" customHeight="1" x14ac:dyDescent="0.25">
      <c r="A297" s="379"/>
      <c r="B297" s="380"/>
      <c r="C297" s="454" t="s">
        <v>804</v>
      </c>
      <c r="D297" s="454"/>
      <c r="E297" s="454"/>
      <c r="F297" s="454"/>
      <c r="G297" s="454"/>
      <c r="H297" s="454"/>
      <c r="I297" s="37" t="s">
        <v>753</v>
      </c>
      <c r="J297" s="36">
        <v>1</v>
      </c>
      <c r="K297" s="454"/>
      <c r="L297" s="454"/>
      <c r="M297" s="454"/>
      <c r="N297" s="454"/>
      <c r="O297" s="454"/>
    </row>
    <row r="298" spans="1:15" x14ac:dyDescent="0.25">
      <c r="A298" s="455"/>
      <c r="B298" s="454"/>
      <c r="C298" s="454"/>
      <c r="D298" s="454"/>
      <c r="E298" s="454"/>
      <c r="F298" s="454"/>
      <c r="G298" s="454"/>
      <c r="H298" s="454"/>
      <c r="I298" s="454"/>
      <c r="J298" s="456"/>
    </row>
    <row r="299" spans="1:15" x14ac:dyDescent="0.25">
      <c r="A299" s="457" t="s">
        <v>805</v>
      </c>
      <c r="B299" s="458"/>
      <c r="C299" s="458"/>
      <c r="D299" s="458"/>
      <c r="E299" s="458"/>
      <c r="F299" s="458"/>
      <c r="G299" s="458"/>
      <c r="H299" s="458"/>
      <c r="I299" s="458"/>
      <c r="J299" s="459"/>
      <c r="K299" s="454"/>
      <c r="L299" s="454"/>
      <c r="M299" s="454"/>
      <c r="N299" s="454"/>
      <c r="O299" s="454"/>
    </row>
    <row r="300" spans="1:15" ht="15.75" thickBot="1" x14ac:dyDescent="0.3">
      <c r="A300" s="455"/>
      <c r="B300" s="454"/>
      <c r="C300" s="454"/>
      <c r="D300" s="454"/>
      <c r="E300" s="454"/>
      <c r="F300" s="454"/>
      <c r="G300" s="454"/>
      <c r="H300" s="454"/>
      <c r="I300" s="454"/>
      <c r="J300" s="456"/>
    </row>
    <row r="301" spans="1:15" ht="15.75" thickBot="1" x14ac:dyDescent="0.3">
      <c r="A301" s="122">
        <v>8</v>
      </c>
      <c r="B301" s="123"/>
      <c r="C301" s="461" t="s">
        <v>651</v>
      </c>
      <c r="D301" s="461"/>
      <c r="E301" s="461"/>
      <c r="F301" s="461"/>
      <c r="G301" s="461"/>
      <c r="H301" s="461"/>
      <c r="I301" s="123"/>
      <c r="J301" s="124"/>
    </row>
    <row r="302" spans="1:15" x14ac:dyDescent="0.25">
      <c r="A302" s="93"/>
      <c r="C302" s="454"/>
      <c r="D302" s="454"/>
      <c r="E302" s="454"/>
      <c r="F302" s="454"/>
      <c r="G302" s="454"/>
      <c r="H302" s="454"/>
      <c r="J302" s="36"/>
    </row>
    <row r="303" spans="1:15" x14ac:dyDescent="0.25">
      <c r="A303" s="125" t="s">
        <v>145</v>
      </c>
      <c r="B303" s="126"/>
      <c r="C303" s="460" t="str">
        <f>'Orçamento '!D130</f>
        <v>QUEBRA EM ALVENARIA PARA INSTALAÇÃO DE CAIXA DE TOMADA (4X4 OU 4X2). AF_05/2015</v>
      </c>
      <c r="D303" s="460"/>
      <c r="E303" s="460"/>
      <c r="F303" s="460"/>
      <c r="G303" s="460"/>
      <c r="H303" s="460"/>
      <c r="I303" s="120" t="s">
        <v>753</v>
      </c>
      <c r="J303" s="377">
        <f>SUM(J304:J304)</f>
        <v>45</v>
      </c>
    </row>
    <row r="304" spans="1:15" ht="15" customHeight="1" x14ac:dyDescent="0.25">
      <c r="A304" s="379"/>
      <c r="B304" s="380"/>
      <c r="C304" s="454" t="s">
        <v>804</v>
      </c>
      <c r="D304" s="454"/>
      <c r="E304" s="454"/>
      <c r="F304" s="454"/>
      <c r="G304" s="454"/>
      <c r="H304" s="454"/>
      <c r="I304" s="37" t="s">
        <v>753</v>
      </c>
      <c r="J304" s="36">
        <v>45</v>
      </c>
      <c r="K304" s="454"/>
      <c r="L304" s="454"/>
      <c r="M304" s="454"/>
      <c r="N304" s="454"/>
      <c r="O304" s="454"/>
    </row>
    <row r="305" spans="1:15" x14ac:dyDescent="0.25">
      <c r="A305" s="455"/>
      <c r="B305" s="454"/>
      <c r="C305" s="454"/>
      <c r="D305" s="454"/>
      <c r="E305" s="454"/>
      <c r="F305" s="454"/>
      <c r="G305" s="454"/>
      <c r="H305" s="454"/>
      <c r="I305" s="454"/>
      <c r="J305" s="456"/>
    </row>
    <row r="306" spans="1:15" x14ac:dyDescent="0.25">
      <c r="A306" s="457" t="s">
        <v>806</v>
      </c>
      <c r="B306" s="458"/>
      <c r="C306" s="458"/>
      <c r="D306" s="458"/>
      <c r="E306" s="458"/>
      <c r="F306" s="458"/>
      <c r="G306" s="458"/>
      <c r="H306" s="458"/>
      <c r="I306" s="458"/>
      <c r="J306" s="459"/>
      <c r="K306" s="454"/>
      <c r="L306" s="454"/>
      <c r="M306" s="454"/>
      <c r="N306" s="454"/>
      <c r="O306" s="454"/>
    </row>
    <row r="307" spans="1:15" ht="15.75" thickBot="1" x14ac:dyDescent="0.3">
      <c r="A307" s="455"/>
      <c r="B307" s="454"/>
      <c r="C307" s="454"/>
      <c r="D307" s="454"/>
      <c r="E307" s="454"/>
      <c r="F307" s="454"/>
      <c r="G307" s="454"/>
      <c r="H307" s="454"/>
      <c r="I307" s="454"/>
      <c r="J307" s="456"/>
    </row>
    <row r="308" spans="1:15" ht="15.75" thickBot="1" x14ac:dyDescent="0.3">
      <c r="A308" s="122">
        <v>9</v>
      </c>
      <c r="B308" s="123"/>
      <c r="C308" s="461" t="s">
        <v>310</v>
      </c>
      <c r="D308" s="461"/>
      <c r="E308" s="461"/>
      <c r="F308" s="461"/>
      <c r="G308" s="461"/>
      <c r="H308" s="461"/>
      <c r="I308" s="123"/>
      <c r="J308" s="124"/>
    </row>
    <row r="309" spans="1:15" x14ac:dyDescent="0.25">
      <c r="A309" s="93"/>
      <c r="C309" s="454"/>
      <c r="D309" s="454"/>
      <c r="E309" s="454"/>
      <c r="F309" s="454"/>
      <c r="G309" s="454"/>
      <c r="H309" s="454"/>
      <c r="J309" s="36"/>
    </row>
    <row r="310" spans="1:15" x14ac:dyDescent="0.25">
      <c r="A310" s="125" t="s">
        <v>545</v>
      </c>
      <c r="B310" s="126"/>
      <c r="C310" s="460" t="str">
        <f>'Orçamento '!D186</f>
        <v>QUEBRA EM ALVENARIA PARA INSTALAÇÃO DE CAIXA DE TOMADA (4X4 OU 4X2). AF_05/2015</v>
      </c>
      <c r="D310" s="460"/>
      <c r="E310" s="460"/>
      <c r="F310" s="460"/>
      <c r="G310" s="460"/>
      <c r="H310" s="460"/>
      <c r="I310" s="120" t="s">
        <v>753</v>
      </c>
      <c r="J310" s="377">
        <f>SUM(J311:J312)</f>
        <v>46</v>
      </c>
    </row>
    <row r="311" spans="1:15" ht="15" customHeight="1" x14ac:dyDescent="0.25">
      <c r="A311" s="379"/>
      <c r="B311" s="380"/>
      <c r="C311" s="454" t="s">
        <v>804</v>
      </c>
      <c r="D311" s="454"/>
      <c r="E311" s="454"/>
      <c r="F311" s="454"/>
      <c r="G311" s="454"/>
      <c r="H311" s="454"/>
      <c r="I311" s="37" t="s">
        <v>753</v>
      </c>
      <c r="J311" s="36">
        <v>44</v>
      </c>
      <c r="K311" s="454"/>
      <c r="L311" s="454"/>
      <c r="M311" s="454"/>
      <c r="N311" s="454"/>
      <c r="O311" s="454"/>
    </row>
    <row r="312" spans="1:15" ht="15" customHeight="1" x14ac:dyDescent="0.25">
      <c r="A312" s="379"/>
      <c r="B312" s="380"/>
      <c r="C312" s="454" t="s">
        <v>807</v>
      </c>
      <c r="D312" s="454"/>
      <c r="E312" s="454"/>
      <c r="F312" s="454"/>
      <c r="G312" s="454"/>
      <c r="H312" s="454"/>
      <c r="I312" s="37" t="s">
        <v>753</v>
      </c>
      <c r="J312" s="36">
        <v>2</v>
      </c>
      <c r="K312" s="454"/>
      <c r="L312" s="454"/>
      <c r="M312" s="454"/>
      <c r="N312" s="454"/>
      <c r="O312" s="454"/>
    </row>
    <row r="313" spans="1:15" x14ac:dyDescent="0.25">
      <c r="A313" s="455"/>
      <c r="B313" s="454"/>
      <c r="C313" s="454"/>
      <c r="D313" s="454"/>
      <c r="E313" s="454"/>
      <c r="F313" s="454"/>
      <c r="G313" s="454"/>
      <c r="H313" s="454"/>
      <c r="I313" s="454"/>
      <c r="J313" s="456"/>
    </row>
    <row r="314" spans="1:15" x14ac:dyDescent="0.25">
      <c r="A314" s="457" t="s">
        <v>808</v>
      </c>
      <c r="B314" s="458"/>
      <c r="C314" s="458"/>
      <c r="D314" s="458"/>
      <c r="E314" s="458"/>
      <c r="F314" s="458"/>
      <c r="G314" s="458"/>
      <c r="H314" s="458"/>
      <c r="I314" s="458"/>
      <c r="J314" s="459"/>
      <c r="K314" s="454"/>
      <c r="L314" s="454"/>
      <c r="M314" s="454"/>
      <c r="N314" s="454"/>
      <c r="O314" s="454"/>
    </row>
    <row r="315" spans="1:15" ht="17.25" customHeight="1" thickBot="1" x14ac:dyDescent="0.3">
      <c r="A315" s="455"/>
      <c r="B315" s="454"/>
      <c r="C315" s="454"/>
      <c r="D315" s="454"/>
      <c r="E315" s="454"/>
      <c r="F315" s="454"/>
      <c r="G315" s="454"/>
      <c r="H315" s="454"/>
      <c r="I315" s="454"/>
      <c r="J315" s="456"/>
    </row>
    <row r="316" spans="1:15" ht="15.75" thickBot="1" x14ac:dyDescent="0.3">
      <c r="A316" s="122">
        <v>10</v>
      </c>
      <c r="B316" s="123"/>
      <c r="C316" s="461" t="str">
        <f>'Orçamento '!$D$240</f>
        <v>SISTEMA PCI</v>
      </c>
      <c r="D316" s="461"/>
      <c r="E316" s="461"/>
      <c r="F316" s="461"/>
      <c r="G316" s="461"/>
      <c r="H316" s="461"/>
      <c r="I316" s="123"/>
      <c r="J316" s="124"/>
    </row>
    <row r="317" spans="1:15" x14ac:dyDescent="0.25">
      <c r="A317" s="125" t="str">
        <f>'Orçamento '!$A$241</f>
        <v>10.1</v>
      </c>
      <c r="B317" s="126"/>
      <c r="C317" s="460" t="str">
        <f>'Orçamento '!$D$241</f>
        <v>REMOÇÃO DE DETECTOR DE FUMAÇA</v>
      </c>
      <c r="D317" s="460"/>
      <c r="E317" s="460"/>
      <c r="F317" s="460"/>
      <c r="G317" s="460"/>
      <c r="H317" s="460"/>
      <c r="I317" s="120" t="s">
        <v>307</v>
      </c>
      <c r="J317" s="377">
        <f>SUM(J318:J326)</f>
        <v>19</v>
      </c>
    </row>
    <row r="318" spans="1:15" x14ac:dyDescent="0.25">
      <c r="A318" s="93"/>
      <c r="C318" s="454" t="s">
        <v>313</v>
      </c>
      <c r="D318" s="454"/>
      <c r="E318" s="454"/>
      <c r="F318" s="454"/>
      <c r="G318" s="454"/>
      <c r="H318" s="454"/>
      <c r="I318" s="37" t="s">
        <v>307</v>
      </c>
      <c r="J318" s="36">
        <v>3</v>
      </c>
    </row>
    <row r="319" spans="1:15" x14ac:dyDescent="0.25">
      <c r="A319" s="93"/>
      <c r="C319" s="454" t="s">
        <v>314</v>
      </c>
      <c r="D319" s="454"/>
      <c r="E319" s="454"/>
      <c r="F319" s="454"/>
      <c r="G319" s="454"/>
      <c r="H319" s="454"/>
      <c r="I319" s="37" t="s">
        <v>307</v>
      </c>
      <c r="J319" s="36">
        <v>4</v>
      </c>
    </row>
    <row r="320" spans="1:15" x14ac:dyDescent="0.25">
      <c r="A320" s="93"/>
      <c r="C320" s="454" t="s">
        <v>325</v>
      </c>
      <c r="D320" s="454"/>
      <c r="E320" s="454"/>
      <c r="F320" s="454"/>
      <c r="G320" s="454"/>
      <c r="H320" s="454"/>
      <c r="I320" s="37" t="s">
        <v>308</v>
      </c>
      <c r="J320" s="36">
        <v>2</v>
      </c>
    </row>
    <row r="321" spans="1:10" x14ac:dyDescent="0.25">
      <c r="A321" s="93"/>
      <c r="C321" s="454" t="s">
        <v>326</v>
      </c>
      <c r="D321" s="454"/>
      <c r="E321" s="454"/>
      <c r="F321" s="454"/>
      <c r="G321" s="454"/>
      <c r="H321" s="454"/>
      <c r="I321" s="37" t="s">
        <v>308</v>
      </c>
      <c r="J321" s="36">
        <v>3</v>
      </c>
    </row>
    <row r="322" spans="1:10" x14ac:dyDescent="0.25">
      <c r="A322" s="93"/>
      <c r="C322" s="454" t="s">
        <v>318</v>
      </c>
      <c r="D322" s="454"/>
      <c r="E322" s="454"/>
      <c r="F322" s="454"/>
      <c r="G322" s="454"/>
      <c r="H322" s="454"/>
      <c r="I322" s="37" t="s">
        <v>308</v>
      </c>
      <c r="J322" s="36">
        <v>1</v>
      </c>
    </row>
    <row r="323" spans="1:10" x14ac:dyDescent="0.25">
      <c r="A323" s="93"/>
      <c r="C323" s="454" t="s">
        <v>319</v>
      </c>
      <c r="D323" s="454"/>
      <c r="E323" s="454"/>
      <c r="F323" s="454"/>
      <c r="G323" s="454"/>
      <c r="H323" s="454"/>
      <c r="I323" s="37" t="s">
        <v>308</v>
      </c>
      <c r="J323" s="36">
        <v>1</v>
      </c>
    </row>
    <row r="324" spans="1:10" x14ac:dyDescent="0.25">
      <c r="A324" s="93"/>
      <c r="C324" s="454" t="s">
        <v>320</v>
      </c>
      <c r="D324" s="454"/>
      <c r="E324" s="454"/>
      <c r="F324" s="454"/>
      <c r="G324" s="454"/>
      <c r="H324" s="454"/>
      <c r="I324" s="37" t="s">
        <v>308</v>
      </c>
      <c r="J324" s="36">
        <v>2</v>
      </c>
    </row>
    <row r="325" spans="1:10" x14ac:dyDescent="0.25">
      <c r="A325" s="93"/>
      <c r="C325" s="454" t="s">
        <v>322</v>
      </c>
      <c r="D325" s="454"/>
      <c r="E325" s="454"/>
      <c r="F325" s="454"/>
      <c r="G325" s="454"/>
      <c r="H325" s="454"/>
      <c r="I325" s="37" t="s">
        <v>308</v>
      </c>
      <c r="J325" s="36">
        <v>2</v>
      </c>
    </row>
    <row r="326" spans="1:10" x14ac:dyDescent="0.25">
      <c r="A326" s="93"/>
      <c r="C326" s="454" t="s">
        <v>355</v>
      </c>
      <c r="D326" s="454"/>
      <c r="E326" s="454"/>
      <c r="F326" s="454"/>
      <c r="G326" s="454"/>
      <c r="H326" s="454"/>
      <c r="I326" s="37" t="s">
        <v>308</v>
      </c>
      <c r="J326" s="36">
        <v>1</v>
      </c>
    </row>
    <row r="327" spans="1:10" x14ac:dyDescent="0.25">
      <c r="A327" s="93"/>
      <c r="C327" s="454"/>
      <c r="D327" s="454"/>
      <c r="E327" s="454"/>
      <c r="F327" s="454"/>
      <c r="G327" s="454"/>
      <c r="H327" s="454"/>
      <c r="J327" s="36"/>
    </row>
    <row r="328" spans="1:10" x14ac:dyDescent="0.25">
      <c r="A328" s="125" t="str">
        <f>'Orçamento '!$A$242</f>
        <v>10.2</v>
      </c>
      <c r="B328" s="126"/>
      <c r="C328" s="460" t="str">
        <f>'Orçamento '!$D$242</f>
        <v>REINSTALAÇÃO DE DETECTOR DE FUMAÇA</v>
      </c>
      <c r="D328" s="460"/>
      <c r="E328" s="460"/>
      <c r="F328" s="460"/>
      <c r="G328" s="460"/>
      <c r="H328" s="460"/>
      <c r="I328" s="120" t="s">
        <v>307</v>
      </c>
      <c r="J328" s="377">
        <f>SUM(J329:J337)</f>
        <v>19</v>
      </c>
    </row>
    <row r="329" spans="1:10" x14ac:dyDescent="0.25">
      <c r="A329" s="93"/>
      <c r="C329" s="454" t="s">
        <v>313</v>
      </c>
      <c r="D329" s="454"/>
      <c r="E329" s="454"/>
      <c r="F329" s="454"/>
      <c r="G329" s="454"/>
      <c r="H329" s="454"/>
      <c r="I329" s="37" t="s">
        <v>307</v>
      </c>
      <c r="J329" s="36">
        <v>3</v>
      </c>
    </row>
    <row r="330" spans="1:10" x14ac:dyDescent="0.25">
      <c r="A330" s="93"/>
      <c r="C330" s="454" t="s">
        <v>314</v>
      </c>
      <c r="D330" s="454"/>
      <c r="E330" s="454"/>
      <c r="F330" s="454"/>
      <c r="G330" s="454"/>
      <c r="H330" s="454"/>
      <c r="I330" s="37" t="s">
        <v>307</v>
      </c>
      <c r="J330" s="36">
        <v>4</v>
      </c>
    </row>
    <row r="331" spans="1:10" x14ac:dyDescent="0.25">
      <c r="A331" s="93"/>
      <c r="C331" s="454" t="s">
        <v>325</v>
      </c>
      <c r="D331" s="454"/>
      <c r="E331" s="454"/>
      <c r="F331" s="454"/>
      <c r="G331" s="454"/>
      <c r="H331" s="454"/>
      <c r="I331" s="37" t="s">
        <v>308</v>
      </c>
      <c r="J331" s="36">
        <v>2</v>
      </c>
    </row>
    <row r="332" spans="1:10" x14ac:dyDescent="0.25">
      <c r="A332" s="93"/>
      <c r="C332" s="454" t="s">
        <v>326</v>
      </c>
      <c r="D332" s="454"/>
      <c r="E332" s="454"/>
      <c r="F332" s="454"/>
      <c r="G332" s="454"/>
      <c r="H332" s="454"/>
      <c r="I332" s="37" t="s">
        <v>308</v>
      </c>
      <c r="J332" s="36">
        <v>3</v>
      </c>
    </row>
    <row r="333" spans="1:10" x14ac:dyDescent="0.25">
      <c r="A333" s="93"/>
      <c r="C333" s="454" t="s">
        <v>318</v>
      </c>
      <c r="D333" s="454"/>
      <c r="E333" s="454"/>
      <c r="F333" s="454"/>
      <c r="G333" s="454"/>
      <c r="H333" s="454"/>
      <c r="I333" s="37" t="s">
        <v>308</v>
      </c>
      <c r="J333" s="36">
        <v>1</v>
      </c>
    </row>
    <row r="334" spans="1:10" x14ac:dyDescent="0.25">
      <c r="A334" s="93"/>
      <c r="C334" s="454" t="s">
        <v>319</v>
      </c>
      <c r="D334" s="454"/>
      <c r="E334" s="454"/>
      <c r="F334" s="454"/>
      <c r="G334" s="454"/>
      <c r="H334" s="454"/>
      <c r="I334" s="37" t="s">
        <v>308</v>
      </c>
      <c r="J334" s="36">
        <v>1</v>
      </c>
    </row>
    <row r="335" spans="1:10" x14ac:dyDescent="0.25">
      <c r="A335" s="93"/>
      <c r="C335" s="454" t="s">
        <v>320</v>
      </c>
      <c r="D335" s="454"/>
      <c r="E335" s="454"/>
      <c r="F335" s="454"/>
      <c r="G335" s="454"/>
      <c r="H335" s="454"/>
      <c r="I335" s="37" t="s">
        <v>308</v>
      </c>
      <c r="J335" s="36">
        <v>2</v>
      </c>
    </row>
    <row r="336" spans="1:10" x14ac:dyDescent="0.25">
      <c r="A336" s="93"/>
      <c r="C336" s="454" t="s">
        <v>322</v>
      </c>
      <c r="D336" s="454"/>
      <c r="E336" s="454"/>
      <c r="F336" s="454"/>
      <c r="G336" s="454"/>
      <c r="H336" s="454"/>
      <c r="I336" s="37" t="s">
        <v>308</v>
      </c>
      <c r="J336" s="36">
        <v>2</v>
      </c>
    </row>
    <row r="337" spans="1:15" x14ac:dyDescent="0.25">
      <c r="A337" s="93"/>
      <c r="C337" s="454" t="s">
        <v>355</v>
      </c>
      <c r="D337" s="454"/>
      <c r="E337" s="454"/>
      <c r="F337" s="454"/>
      <c r="G337" s="454"/>
      <c r="H337" s="454"/>
      <c r="I337" s="37" t="s">
        <v>308</v>
      </c>
      <c r="J337" s="36">
        <v>1</v>
      </c>
    </row>
    <row r="338" spans="1:15" x14ac:dyDescent="0.25">
      <c r="A338" s="93"/>
      <c r="C338" s="454"/>
      <c r="D338" s="454"/>
      <c r="E338" s="454"/>
      <c r="F338" s="454"/>
      <c r="G338" s="454"/>
      <c r="H338" s="454"/>
      <c r="J338" s="36"/>
    </row>
    <row r="339" spans="1:15" x14ac:dyDescent="0.25">
      <c r="A339" s="125" t="str">
        <f>'Orçamento '!A243</f>
        <v>10.3</v>
      </c>
      <c r="B339" s="126"/>
      <c r="C339" s="460" t="str">
        <f>'Orçamento '!D243</f>
        <v xml:space="preserve"> LUMINÁRIA DE EMERGÊNCIA AUTÔNOMA, TIPO LED POTÊNCIA TOTAL DE 2W, FORNECIMENTO E INSTALAÇÃO</v>
      </c>
      <c r="D339" s="460"/>
      <c r="E339" s="460"/>
      <c r="F339" s="460"/>
      <c r="G339" s="460"/>
      <c r="H339" s="460"/>
      <c r="I339" s="120" t="s">
        <v>307</v>
      </c>
      <c r="J339" s="377">
        <f>SUM(J340:J341)</f>
        <v>16</v>
      </c>
    </row>
    <row r="340" spans="1:15" x14ac:dyDescent="0.25">
      <c r="A340" s="93"/>
      <c r="C340" s="454" t="s">
        <v>809</v>
      </c>
      <c r="D340" s="454"/>
      <c r="E340" s="454"/>
      <c r="F340" s="454"/>
      <c r="G340" s="454"/>
      <c r="H340" s="454"/>
      <c r="I340" s="37" t="s">
        <v>307</v>
      </c>
      <c r="J340" s="36">
        <v>16</v>
      </c>
    </row>
    <row r="341" spans="1:15" ht="15.75" thickBot="1" x14ac:dyDescent="0.3">
      <c r="A341" s="93"/>
      <c r="C341" s="454"/>
      <c r="D341" s="454"/>
      <c r="E341" s="454"/>
      <c r="F341" s="454"/>
      <c r="G341" s="454"/>
      <c r="H341" s="454"/>
      <c r="J341" s="36"/>
    </row>
    <row r="342" spans="1:15" s="120" customFormat="1" ht="15.75" thickBot="1" x14ac:dyDescent="0.3">
      <c r="A342" s="122">
        <v>11</v>
      </c>
      <c r="B342" s="123"/>
      <c r="C342" s="461" t="s">
        <v>163</v>
      </c>
      <c r="D342" s="461"/>
      <c r="E342" s="461"/>
      <c r="F342" s="461"/>
      <c r="G342" s="461"/>
      <c r="H342" s="461"/>
      <c r="I342" s="123"/>
      <c r="J342" s="124"/>
    </row>
    <row r="343" spans="1:15" x14ac:dyDescent="0.25">
      <c r="A343" s="457" t="s">
        <v>810</v>
      </c>
      <c r="B343" s="458"/>
      <c r="C343" s="458"/>
      <c r="D343" s="458"/>
      <c r="E343" s="458"/>
      <c r="F343" s="458"/>
      <c r="G343" s="458"/>
      <c r="H343" s="458"/>
      <c r="I343" s="458"/>
      <c r="J343" s="459"/>
      <c r="K343" s="454"/>
      <c r="L343" s="454"/>
      <c r="M343" s="454"/>
      <c r="N343" s="454"/>
      <c r="O343" s="454"/>
    </row>
    <row r="344" spans="1:15" ht="17.25" customHeight="1" thickBot="1" x14ac:dyDescent="0.3">
      <c r="A344" s="455"/>
      <c r="B344" s="454"/>
      <c r="C344" s="454"/>
      <c r="D344" s="454"/>
      <c r="E344" s="454"/>
      <c r="F344" s="454"/>
      <c r="G344" s="454"/>
      <c r="H344" s="454"/>
      <c r="I344" s="454"/>
      <c r="J344" s="456"/>
    </row>
    <row r="345" spans="1:15" s="120" customFormat="1" ht="15.75" thickBot="1" x14ac:dyDescent="0.3">
      <c r="A345" s="122">
        <v>12</v>
      </c>
      <c r="B345" s="123" t="s">
        <v>7</v>
      </c>
      <c r="C345" s="461" t="s">
        <v>20</v>
      </c>
      <c r="D345" s="461"/>
      <c r="E345" s="461"/>
      <c r="F345" s="461"/>
      <c r="G345" s="461"/>
      <c r="H345" s="461"/>
      <c r="I345" s="123"/>
      <c r="J345" s="124"/>
    </row>
    <row r="346" spans="1:15" ht="38.25" customHeight="1" x14ac:dyDescent="0.25">
      <c r="A346" s="125" t="str">
        <f>'Orçamento '!A267</f>
        <v>12.1</v>
      </c>
      <c r="B346" s="126"/>
      <c r="C346" s="460" t="str">
        <f>'Orçamento '!D267</f>
        <v xml:space="preserve">P08: REINSTALAÇÃO DE PORTA PRONTA 82X210CM EXISTENTE, CONFORME PROJETO ARQUITETÔNICO; </v>
      </c>
      <c r="D346" s="460"/>
      <c r="E346" s="460"/>
      <c r="F346" s="460"/>
      <c r="G346" s="460"/>
      <c r="H346" s="460"/>
      <c r="I346" s="126" t="s">
        <v>4</v>
      </c>
      <c r="J346" s="377">
        <f>SUM(J347:J348)</f>
        <v>7</v>
      </c>
    </row>
    <row r="347" spans="1:15" x14ac:dyDescent="0.25">
      <c r="A347" s="93"/>
      <c r="C347" s="454" t="s">
        <v>318</v>
      </c>
      <c r="D347" s="454"/>
      <c r="E347" s="454"/>
      <c r="F347" s="454"/>
      <c r="G347" s="454"/>
      <c r="H347" s="454"/>
      <c r="I347" s="61" t="s">
        <v>4</v>
      </c>
      <c r="J347" s="376">
        <v>7</v>
      </c>
    </row>
    <row r="348" spans="1:15" x14ac:dyDescent="0.25">
      <c r="A348" s="93"/>
      <c r="C348" s="454"/>
      <c r="D348" s="454"/>
      <c r="E348" s="454"/>
      <c r="F348" s="454"/>
      <c r="G348" s="454"/>
      <c r="H348" s="454"/>
      <c r="J348" s="36"/>
    </row>
    <row r="349" spans="1:15" ht="44.25" customHeight="1" x14ac:dyDescent="0.25">
      <c r="A349" s="125" t="str">
        <f>'Orçamento '!A268</f>
        <v>12.2</v>
      </c>
      <c r="B349" s="126"/>
      <c r="C349" s="460" t="str">
        <f>'Orçamento '!D268</f>
        <v>DV03: DIVISÓRIA PISO TETO COM 90MM DE ESPESSURA, E VIDRO DUPLO 8MM TEMPERADO. ESTRUTURA EM QUADROS PARA VIDRO DUPLO EM 100% ALUMÍNIO COM ACABAMENTO ANODIZADO NA COR PRETO.</v>
      </c>
      <c r="D349" s="460"/>
      <c r="E349" s="460"/>
      <c r="F349" s="460"/>
      <c r="G349" s="460"/>
      <c r="H349" s="460"/>
      <c r="I349" s="126" t="s">
        <v>411</v>
      </c>
      <c r="J349" s="377">
        <f>SUM(J350:J351)</f>
        <v>1</v>
      </c>
    </row>
    <row r="350" spans="1:15" x14ac:dyDescent="0.25">
      <c r="A350" s="93"/>
      <c r="C350" s="454" t="s">
        <v>311</v>
      </c>
      <c r="D350" s="454"/>
      <c r="E350" s="454"/>
      <c r="F350" s="454"/>
      <c r="G350" s="454"/>
      <c r="H350" s="454"/>
      <c r="I350" s="61" t="s">
        <v>780</v>
      </c>
      <c r="J350" s="376">
        <v>1</v>
      </c>
    </row>
    <row r="351" spans="1:15" x14ac:dyDescent="0.25">
      <c r="A351" s="93"/>
      <c r="C351" s="454"/>
      <c r="D351" s="454"/>
      <c r="E351" s="454"/>
      <c r="F351" s="454"/>
      <c r="G351" s="454"/>
      <c r="H351" s="454"/>
      <c r="I351" s="61"/>
      <c r="J351" s="376"/>
    </row>
    <row r="352" spans="1:15" ht="64.5" customHeight="1" x14ac:dyDescent="0.25">
      <c r="A352" s="125" t="str">
        <f>'Orçamento '!A269</f>
        <v>12.3</v>
      </c>
      <c r="B352" s="126"/>
      <c r="C352" s="460" t="str">
        <f>'Orçamento '!D269</f>
        <v>DV04: DIVISÓRIA PISO TETO COM 90MM DE ESPESSURA, E VIDRO DUPLO 8MM TEMPERADO, COM PERSIANAS ENTRE VIDROS COR PRETO. ESTRUTURA EM QUADROS PARA VIDRO DUPLO EM 100% ALUMÍNIO COM ACABAMENTO ANODIZADO NA COR PRETO.</v>
      </c>
      <c r="D352" s="460"/>
      <c r="E352" s="460"/>
      <c r="F352" s="460"/>
      <c r="G352" s="460"/>
      <c r="H352" s="460"/>
      <c r="I352" s="126" t="s">
        <v>411</v>
      </c>
      <c r="J352" s="377">
        <f>SUM(J353:J354)</f>
        <v>1</v>
      </c>
    </row>
    <row r="353" spans="1:10" x14ac:dyDescent="0.25">
      <c r="A353" s="93"/>
      <c r="C353" s="454" t="s">
        <v>311</v>
      </c>
      <c r="D353" s="454"/>
      <c r="E353" s="454"/>
      <c r="F353" s="454"/>
      <c r="G353" s="454"/>
      <c r="H353" s="454"/>
      <c r="I353" s="61" t="s">
        <v>411</v>
      </c>
      <c r="J353" s="376">
        <v>1</v>
      </c>
    </row>
    <row r="354" spans="1:10" x14ac:dyDescent="0.25">
      <c r="A354" s="93"/>
      <c r="C354" s="454"/>
      <c r="D354" s="454"/>
      <c r="E354" s="454"/>
      <c r="F354" s="454"/>
      <c r="G354" s="454"/>
      <c r="H354" s="454"/>
      <c r="I354" s="61"/>
      <c r="J354" s="376"/>
    </row>
    <row r="355" spans="1:10" ht="70.5" customHeight="1" x14ac:dyDescent="0.25">
      <c r="A355" s="125" t="str">
        <f>'Orçamento '!A270</f>
        <v>12.4</v>
      </c>
      <c r="B355" s="126"/>
      <c r="C355" s="460" t="str">
        <f>'Orçamento '!D270</f>
        <v>P04: PORTA PARA DIVISÓRIA COM VIDRO DUPLO 6MM TEMPERADO, COM PERSIANAS ENTRE VIDROS COR PRETO. ESTRUTURA EM ALUMÍNIO COM ACABAMENTO ANODIZADO NA COR PRETO. FECHADURA PARA PORTA 517 TUBULAR INOX INTERNO ST2 55 ROS 357 INOX PRETO FOSCO. FAB. LA FONTE OU EQUIVALENTE</v>
      </c>
      <c r="D355" s="460"/>
      <c r="E355" s="460"/>
      <c r="F355" s="460"/>
      <c r="G355" s="460"/>
      <c r="H355" s="460"/>
      <c r="I355" s="126" t="s">
        <v>4</v>
      </c>
      <c r="J355" s="377">
        <f>SUM(J356:J357)</f>
        <v>1</v>
      </c>
    </row>
    <row r="356" spans="1:10" x14ac:dyDescent="0.25">
      <c r="A356" s="93"/>
      <c r="C356" s="454" t="s">
        <v>311</v>
      </c>
      <c r="D356" s="454"/>
      <c r="E356" s="454"/>
      <c r="F356" s="454"/>
      <c r="G356" s="454"/>
      <c r="H356" s="454"/>
      <c r="I356" s="61" t="s">
        <v>4</v>
      </c>
      <c r="J356" s="376">
        <v>1</v>
      </c>
    </row>
    <row r="357" spans="1:10" x14ac:dyDescent="0.25">
      <c r="A357" s="93"/>
      <c r="C357" s="454"/>
      <c r="D357" s="454"/>
      <c r="E357" s="454"/>
      <c r="F357" s="454"/>
      <c r="G357" s="454"/>
      <c r="H357" s="454"/>
      <c r="I357" s="61"/>
      <c r="J357" s="376"/>
    </row>
    <row r="358" spans="1:10" ht="61.5" customHeight="1" x14ac:dyDescent="0.25">
      <c r="A358" s="125" t="s">
        <v>93</v>
      </c>
      <c r="B358" s="126"/>
      <c r="C358" s="460" t="str">
        <f>'Orçamento '!D271</f>
        <v>P05: PORTA PARA DIVISÓRIA COM VIDRO DUPLO 6MM TEMPERADO. ESTRUTURA EM ALUMÍNIO COM ACABAMENTO ANODIZADO NA COR PRETO. FECHADURA PARA PORTA 517 TUBULAR INOX INTERNO ST2 55 ROS 357 INOX PRETO FOSCO. FAB. LA FONTE OU EQUIVALENTE.</v>
      </c>
      <c r="D358" s="460"/>
      <c r="E358" s="460"/>
      <c r="F358" s="460"/>
      <c r="G358" s="460"/>
      <c r="H358" s="460"/>
      <c r="I358" s="126" t="s">
        <v>4</v>
      </c>
      <c r="J358" s="377">
        <f>SUM(J359:J359)</f>
        <v>5</v>
      </c>
    </row>
    <row r="359" spans="1:10" x14ac:dyDescent="0.25">
      <c r="A359" s="93"/>
      <c r="C359" s="454" t="s">
        <v>311</v>
      </c>
      <c r="D359" s="454"/>
      <c r="E359" s="454"/>
      <c r="F359" s="454"/>
      <c r="G359" s="454"/>
      <c r="H359" s="454"/>
      <c r="I359" s="61" t="s">
        <v>4</v>
      </c>
      <c r="J359" s="376">
        <v>5</v>
      </c>
    </row>
    <row r="360" spans="1:10" x14ac:dyDescent="0.25">
      <c r="A360" s="93"/>
      <c r="C360" s="454"/>
      <c r="D360" s="454"/>
      <c r="E360" s="454"/>
      <c r="F360" s="454"/>
      <c r="G360" s="454"/>
      <c r="H360" s="454"/>
      <c r="I360" s="61"/>
      <c r="J360" s="376"/>
    </row>
    <row r="361" spans="1:10" ht="63" customHeight="1" x14ac:dyDescent="0.25">
      <c r="A361" s="125" t="str">
        <f>'Orçamento '!A272</f>
        <v>12.6</v>
      </c>
      <c r="B361" s="126"/>
      <c r="C361" s="460" t="str">
        <f>'Orçamento '!D272</f>
        <v>FECHADURA DE EMBUTIR COM CILINDRO, EXTERNA, COMPLETA, ACABAMENTO PADRÃO MÉDIO, INCLUSO EXECUÇÃO DE FURO - FORNECIMENTO E INSTALAÇÃO. AF_12/2019</v>
      </c>
      <c r="D361" s="460"/>
      <c r="E361" s="460"/>
      <c r="F361" s="460"/>
      <c r="G361" s="460"/>
      <c r="H361" s="460"/>
      <c r="I361" s="126" t="s">
        <v>4</v>
      </c>
      <c r="J361" s="377">
        <f>SUM(J362:J363)</f>
        <v>1</v>
      </c>
    </row>
    <row r="362" spans="1:10" x14ac:dyDescent="0.25">
      <c r="A362" s="93"/>
      <c r="C362" s="454" t="s">
        <v>329</v>
      </c>
      <c r="D362" s="454"/>
      <c r="E362" s="454"/>
      <c r="F362" s="454"/>
      <c r="G362" s="454"/>
      <c r="H362" s="454"/>
      <c r="I362" s="61" t="s">
        <v>4</v>
      </c>
      <c r="J362" s="376">
        <v>1</v>
      </c>
    </row>
    <row r="363" spans="1:10" x14ac:dyDescent="0.25">
      <c r="A363" s="93"/>
      <c r="C363" s="454"/>
      <c r="D363" s="454"/>
      <c r="E363" s="454"/>
      <c r="F363" s="454"/>
      <c r="G363" s="454"/>
      <c r="H363" s="454"/>
      <c r="I363" s="61"/>
      <c r="J363" s="376"/>
    </row>
    <row r="364" spans="1:10" x14ac:dyDescent="0.25">
      <c r="A364" s="125" t="str">
        <f>'Orçamento '!A273</f>
        <v>12.7</v>
      </c>
      <c r="B364" s="126"/>
      <c r="C364" s="460" t="str">
        <f>'Orçamento '!D273</f>
        <v>CHAPA DE INOX, INSTALADA NA JANELA, PARA PASSAGEM DA TUBULAÇÃO DE AR CONDICIONADO</v>
      </c>
      <c r="D364" s="460"/>
      <c r="E364" s="460"/>
      <c r="F364" s="460"/>
      <c r="G364" s="460"/>
      <c r="H364" s="460"/>
      <c r="I364" s="126" t="s">
        <v>4</v>
      </c>
      <c r="J364" s="377">
        <f>SUM(J365:J366)</f>
        <v>2</v>
      </c>
    </row>
    <row r="365" spans="1:10" x14ac:dyDescent="0.25">
      <c r="A365" s="93"/>
      <c r="C365" s="454" t="s">
        <v>811</v>
      </c>
      <c r="D365" s="454"/>
      <c r="E365" s="454"/>
      <c r="F365" s="454"/>
      <c r="G365" s="454"/>
      <c r="H365" s="454"/>
      <c r="I365" s="61" t="s">
        <v>4</v>
      </c>
      <c r="J365" s="376">
        <v>2</v>
      </c>
    </row>
    <row r="366" spans="1:10" x14ac:dyDescent="0.25">
      <c r="A366" s="93"/>
      <c r="C366" s="454"/>
      <c r="D366" s="454"/>
      <c r="E366" s="454"/>
      <c r="F366" s="454"/>
      <c r="G366" s="454"/>
      <c r="H366" s="454"/>
      <c r="I366" s="61"/>
      <c r="J366" s="376"/>
    </row>
    <row r="367" spans="1:10" x14ac:dyDescent="0.25">
      <c r="A367" s="125" t="str">
        <f>'Orçamento '!A274</f>
        <v>12.8</v>
      </c>
      <c r="B367" s="126"/>
      <c r="C367" s="460" t="str">
        <f>'Orçamento '!D274</f>
        <v>KIT DE PORTA DE MADEIRA PARA PINTURA, SEMI-OCA (PESADA OU SUPERPESADA), PADRÃO MÉDIO, 90X210CM, ESPESSURA DE 3,5CM, ITENS INCLUSOS: DOBRADIÇAS, MONTAGEM E INSTALAÇÃO DO BATENTE, SEM FECHADURA - FORNECIMENTO E INSTALAÇÃO. AF_12/2019</v>
      </c>
      <c r="D367" s="460"/>
      <c r="E367" s="460"/>
      <c r="F367" s="460"/>
      <c r="G367" s="460"/>
      <c r="H367" s="460"/>
      <c r="I367" s="126" t="s">
        <v>4</v>
      </c>
      <c r="J367" s="377">
        <f>SUM(J368:J369)</f>
        <v>1</v>
      </c>
    </row>
    <row r="368" spans="1:10" x14ac:dyDescent="0.25">
      <c r="A368" s="93"/>
      <c r="C368" s="454" t="s">
        <v>812</v>
      </c>
      <c r="D368" s="454"/>
      <c r="E368" s="454"/>
      <c r="F368" s="454"/>
      <c r="G368" s="454"/>
      <c r="H368" s="454"/>
      <c r="I368" s="61" t="s">
        <v>4</v>
      </c>
      <c r="J368" s="376">
        <v>1</v>
      </c>
    </row>
    <row r="369" spans="1:10" x14ac:dyDescent="0.25">
      <c r="A369" s="93"/>
      <c r="C369" s="454"/>
      <c r="D369" s="454"/>
      <c r="E369" s="454"/>
      <c r="F369" s="454"/>
      <c r="G369" s="454"/>
      <c r="H369" s="454"/>
      <c r="I369" s="61"/>
      <c r="J369" s="376"/>
    </row>
    <row r="370" spans="1:10" x14ac:dyDescent="0.25">
      <c r="A370" s="125" t="str">
        <f>'Orçamento '!A275</f>
        <v>12.9</v>
      </c>
      <c r="B370" s="126"/>
      <c r="C370" s="460" t="str">
        <f>'Orçamento '!D275</f>
        <v>PINTURA TINTA DE ACABAMENTO (PIGMENTADA) ESMALTE SINTÉTICO FOSCO EM MADEIRA, 2 DEMÃOS. AF_01/2021</v>
      </c>
      <c r="D370" s="460"/>
      <c r="E370" s="460"/>
      <c r="F370" s="460"/>
      <c r="G370" s="460"/>
      <c r="H370" s="460"/>
      <c r="I370" s="126" t="s">
        <v>5</v>
      </c>
      <c r="J370" s="377">
        <f>SUM(J371:J372)</f>
        <v>5.67</v>
      </c>
    </row>
    <row r="371" spans="1:10" x14ac:dyDescent="0.25">
      <c r="A371" s="93"/>
      <c r="C371" s="454" t="s">
        <v>812</v>
      </c>
      <c r="D371" s="454"/>
      <c r="E371" s="454"/>
      <c r="F371" s="454"/>
      <c r="G371" s="454"/>
      <c r="H371" s="454"/>
      <c r="I371" s="61" t="s">
        <v>5</v>
      </c>
      <c r="J371" s="376">
        <f>0.9*2.1*3</f>
        <v>5.67</v>
      </c>
    </row>
    <row r="372" spans="1:10" x14ac:dyDescent="0.25">
      <c r="A372" s="93"/>
      <c r="C372" s="454"/>
      <c r="D372" s="454"/>
      <c r="E372" s="454"/>
      <c r="F372" s="454"/>
      <c r="G372" s="454"/>
      <c r="H372" s="454"/>
      <c r="I372" s="61"/>
      <c r="J372" s="376"/>
    </row>
    <row r="373" spans="1:10" x14ac:dyDescent="0.25">
      <c r="A373" s="125" t="str">
        <f>'Orçamento '!A276</f>
        <v>12.10</v>
      </c>
      <c r="B373" s="126"/>
      <c r="C373" s="460" t="str">
        <f>'Orçamento '!D276</f>
        <v xml:space="preserve">RETIRADA DE PELICULA INSULFILM  EM JANELAS </v>
      </c>
      <c r="D373" s="460"/>
      <c r="E373" s="460"/>
      <c r="F373" s="460"/>
      <c r="G373" s="460"/>
      <c r="H373" s="460"/>
      <c r="I373" s="126" t="s">
        <v>5</v>
      </c>
      <c r="J373" s="377">
        <f>SUM(J374:J375)</f>
        <v>11</v>
      </c>
    </row>
    <row r="374" spans="1:10" x14ac:dyDescent="0.25">
      <c r="A374" s="93"/>
      <c r="C374" s="454" t="s">
        <v>811</v>
      </c>
      <c r="D374" s="454"/>
      <c r="E374" s="454"/>
      <c r="F374" s="454"/>
      <c r="G374" s="454"/>
      <c r="H374" s="454"/>
      <c r="I374" s="61" t="s">
        <v>5</v>
      </c>
      <c r="J374" s="376">
        <f>1.25*1.1*8</f>
        <v>11</v>
      </c>
    </row>
    <row r="375" spans="1:10" x14ac:dyDescent="0.25">
      <c r="A375" s="93"/>
      <c r="C375" s="454"/>
      <c r="D375" s="454"/>
      <c r="E375" s="454"/>
      <c r="F375" s="454"/>
      <c r="G375" s="454"/>
      <c r="H375" s="454"/>
      <c r="I375" s="61"/>
      <c r="J375" s="376"/>
    </row>
    <row r="376" spans="1:10" x14ac:dyDescent="0.25">
      <c r="A376" s="125" t="str">
        <f>'Orçamento '!A277</f>
        <v>12.11</v>
      </c>
      <c r="B376" s="126"/>
      <c r="C376" s="460" t="str">
        <f>'Orçamento '!D277</f>
        <v>PROTECOES-APLICACAO DE PELICULA ADESIVA INSULFILM EM VIDROS</v>
      </c>
      <c r="D376" s="460"/>
      <c r="E376" s="460"/>
      <c r="F376" s="460"/>
      <c r="G376" s="460"/>
      <c r="H376" s="460"/>
      <c r="I376" s="126" t="s">
        <v>5</v>
      </c>
      <c r="J376" s="377">
        <f>SUM(J377:J378)</f>
        <v>11</v>
      </c>
    </row>
    <row r="377" spans="1:10" x14ac:dyDescent="0.25">
      <c r="A377" s="93"/>
      <c r="C377" s="454" t="s">
        <v>811</v>
      </c>
      <c r="D377" s="454"/>
      <c r="E377" s="454"/>
      <c r="F377" s="454"/>
      <c r="G377" s="454"/>
      <c r="H377" s="454"/>
      <c r="I377" s="61" t="s">
        <v>5</v>
      </c>
      <c r="J377" s="376">
        <f>1.25*1.1*8</f>
        <v>11</v>
      </c>
    </row>
    <row r="378" spans="1:10" ht="15.75" thickBot="1" x14ac:dyDescent="0.3">
      <c r="A378" s="93"/>
      <c r="C378" s="454"/>
      <c r="D378" s="454"/>
      <c r="E378" s="454"/>
      <c r="F378" s="454"/>
      <c r="G378" s="454"/>
      <c r="H378" s="454"/>
      <c r="J378" s="36"/>
    </row>
    <row r="379" spans="1:10" s="120" customFormat="1" ht="15.75" thickBot="1" x14ac:dyDescent="0.3">
      <c r="A379" s="122">
        <v>13</v>
      </c>
      <c r="B379" s="123" t="s">
        <v>7</v>
      </c>
      <c r="C379" s="461" t="s">
        <v>21</v>
      </c>
      <c r="D379" s="461"/>
      <c r="E379" s="461"/>
      <c r="F379" s="461"/>
      <c r="G379" s="461"/>
      <c r="H379" s="461"/>
      <c r="I379" s="123"/>
      <c r="J379" s="124"/>
    </row>
    <row r="380" spans="1:10" ht="15" customHeight="1" x14ac:dyDescent="0.25">
      <c r="A380" s="125" t="s">
        <v>94</v>
      </c>
      <c r="B380" s="126" t="s">
        <v>6</v>
      </c>
      <c r="C380" s="460" t="s">
        <v>25</v>
      </c>
      <c r="D380" s="460"/>
      <c r="E380" s="460"/>
      <c r="F380" s="460"/>
      <c r="G380" s="460"/>
      <c r="H380" s="460"/>
      <c r="I380" s="120" t="s">
        <v>5</v>
      </c>
      <c r="J380" s="121">
        <f>SUM(J381:J386)</f>
        <v>3.3150999999999997</v>
      </c>
    </row>
    <row r="381" spans="1:10" x14ac:dyDescent="0.25">
      <c r="A381" s="93"/>
      <c r="C381" s="454" t="s">
        <v>316</v>
      </c>
      <c r="D381" s="454"/>
      <c r="E381" s="454"/>
      <c r="F381" s="454"/>
      <c r="G381" s="454"/>
      <c r="H381" s="454"/>
      <c r="I381" s="37" t="s">
        <v>5</v>
      </c>
      <c r="J381" s="36">
        <f>2.84*0.15</f>
        <v>0.42599999999999999</v>
      </c>
    </row>
    <row r="382" spans="1:10" x14ac:dyDescent="0.25">
      <c r="A382" s="93"/>
      <c r="C382" s="454" t="s">
        <v>324</v>
      </c>
      <c r="D382" s="454"/>
      <c r="E382" s="454"/>
      <c r="F382" s="454"/>
      <c r="G382" s="454"/>
      <c r="H382" s="454"/>
      <c r="I382" s="37" t="s">
        <v>5</v>
      </c>
      <c r="J382" s="36">
        <f>3.15*0.15</f>
        <v>0.47249999999999998</v>
      </c>
    </row>
    <row r="383" spans="1:10" x14ac:dyDescent="0.25">
      <c r="A383" s="93"/>
      <c r="C383" s="454" t="s">
        <v>315</v>
      </c>
      <c r="D383" s="454"/>
      <c r="E383" s="454"/>
      <c r="F383" s="454"/>
      <c r="G383" s="454"/>
      <c r="H383" s="454"/>
      <c r="I383" s="37" t="s">
        <v>5</v>
      </c>
      <c r="J383" s="36">
        <f>3.68*0.16</f>
        <v>0.58879999999999999</v>
      </c>
    </row>
    <row r="384" spans="1:10" x14ac:dyDescent="0.25">
      <c r="A384" s="93"/>
      <c r="C384" s="454" t="s">
        <v>323</v>
      </c>
      <c r="D384" s="454"/>
      <c r="E384" s="454"/>
      <c r="F384" s="454"/>
      <c r="G384" s="454"/>
      <c r="H384" s="454"/>
      <c r="I384" s="37" t="s">
        <v>5</v>
      </c>
      <c r="J384" s="36">
        <f>3.68*0.16</f>
        <v>0.58879999999999999</v>
      </c>
    </row>
    <row r="385" spans="1:10" x14ac:dyDescent="0.25">
      <c r="A385" s="93"/>
      <c r="C385" s="454" t="s">
        <v>325</v>
      </c>
      <c r="D385" s="454"/>
      <c r="E385" s="454"/>
      <c r="F385" s="454"/>
      <c r="G385" s="454"/>
      <c r="H385" s="454"/>
      <c r="I385" s="37" t="s">
        <v>5</v>
      </c>
      <c r="J385" s="36">
        <f>3.81*0.14</f>
        <v>0.5334000000000001</v>
      </c>
    </row>
    <row r="386" spans="1:10" x14ac:dyDescent="0.25">
      <c r="A386" s="93"/>
      <c r="C386" s="454" t="s">
        <v>320</v>
      </c>
      <c r="D386" s="454"/>
      <c r="E386" s="454"/>
      <c r="F386" s="454"/>
      <c r="G386" s="454"/>
      <c r="H386" s="454"/>
      <c r="I386" s="37" t="s">
        <v>5</v>
      </c>
      <c r="J386" s="36">
        <f>(3.47+1.57)*0.14</f>
        <v>0.70560000000000012</v>
      </c>
    </row>
    <row r="387" spans="1:10" x14ac:dyDescent="0.25">
      <c r="A387" s="93"/>
      <c r="C387" s="454"/>
      <c r="D387" s="454"/>
      <c r="E387" s="454"/>
      <c r="F387" s="454"/>
      <c r="G387" s="454"/>
      <c r="H387" s="454"/>
      <c r="J387" s="36"/>
    </row>
    <row r="388" spans="1:10" ht="15" customHeight="1" x14ac:dyDescent="0.25">
      <c r="A388" s="125" t="s">
        <v>95</v>
      </c>
      <c r="B388" s="126" t="s">
        <v>6</v>
      </c>
      <c r="C388" s="460" t="s">
        <v>24</v>
      </c>
      <c r="D388" s="460"/>
      <c r="E388" s="460"/>
      <c r="F388" s="460"/>
      <c r="G388" s="460"/>
      <c r="H388" s="460"/>
      <c r="I388" s="120" t="s">
        <v>5</v>
      </c>
      <c r="J388" s="121">
        <f>SUM(J389:J405)</f>
        <v>1172.575</v>
      </c>
    </row>
    <row r="389" spans="1:10" x14ac:dyDescent="0.25">
      <c r="A389" s="93"/>
      <c r="C389" s="454" t="s">
        <v>316</v>
      </c>
      <c r="D389" s="454"/>
      <c r="E389" s="454"/>
      <c r="F389" s="454"/>
      <c r="G389" s="454"/>
      <c r="H389" s="454"/>
      <c r="I389" s="37" t="s">
        <v>5</v>
      </c>
      <c r="J389" s="36">
        <f>(2.62*2+2.84)*2.5</f>
        <v>20.2</v>
      </c>
    </row>
    <row r="390" spans="1:10" x14ac:dyDescent="0.25">
      <c r="A390" s="93"/>
      <c r="C390" s="454" t="s">
        <v>313</v>
      </c>
      <c r="D390" s="454"/>
      <c r="E390" s="454"/>
      <c r="F390" s="454"/>
      <c r="G390" s="454"/>
      <c r="H390" s="454"/>
      <c r="I390" s="37" t="s">
        <v>5</v>
      </c>
      <c r="J390" s="36">
        <f>31.07*2.5</f>
        <v>77.674999999999997</v>
      </c>
    </row>
    <row r="391" spans="1:10" x14ac:dyDescent="0.25">
      <c r="A391" s="93"/>
      <c r="C391" s="454" t="s">
        <v>324</v>
      </c>
      <c r="D391" s="454"/>
      <c r="E391" s="454"/>
      <c r="F391" s="454"/>
      <c r="G391" s="454"/>
      <c r="H391" s="454"/>
      <c r="I391" s="37" t="s">
        <v>5</v>
      </c>
      <c r="J391" s="36">
        <f>(2.81*2+0.6*2+3.15)*2.5</f>
        <v>24.925000000000001</v>
      </c>
    </row>
    <row r="392" spans="1:10" x14ac:dyDescent="0.25">
      <c r="A392" s="93"/>
      <c r="C392" s="454" t="s">
        <v>314</v>
      </c>
      <c r="D392" s="454"/>
      <c r="E392" s="454"/>
      <c r="F392" s="454"/>
      <c r="G392" s="454"/>
      <c r="H392" s="454"/>
      <c r="I392" s="37" t="s">
        <v>5</v>
      </c>
      <c r="J392" s="36">
        <f>(2.98+10.84+29.63)*2.5</f>
        <v>108.625</v>
      </c>
    </row>
    <row r="393" spans="1:10" x14ac:dyDescent="0.25">
      <c r="A393" s="93"/>
      <c r="C393" s="454" t="s">
        <v>315</v>
      </c>
      <c r="D393" s="454"/>
      <c r="E393" s="454"/>
      <c r="F393" s="454"/>
      <c r="G393" s="454"/>
      <c r="H393" s="454"/>
      <c r="I393" s="37" t="s">
        <v>5</v>
      </c>
      <c r="J393" s="36">
        <f>(2.76*2+3.64+0.6*2)*2.5</f>
        <v>25.9</v>
      </c>
    </row>
    <row r="394" spans="1:10" x14ac:dyDescent="0.25">
      <c r="A394" s="93"/>
      <c r="C394" s="454" t="s">
        <v>323</v>
      </c>
      <c r="D394" s="454"/>
      <c r="E394" s="454"/>
      <c r="F394" s="454"/>
      <c r="G394" s="454"/>
      <c r="H394" s="454"/>
      <c r="I394" s="37" t="s">
        <v>5</v>
      </c>
      <c r="J394" s="36">
        <f>(4.28+0.6+2.85*2)*2.5</f>
        <v>26.45</v>
      </c>
    </row>
    <row r="395" spans="1:10" x14ac:dyDescent="0.25">
      <c r="A395" s="93"/>
      <c r="C395" s="454" t="s">
        <v>317</v>
      </c>
      <c r="D395" s="454"/>
      <c r="E395" s="454"/>
      <c r="F395" s="454"/>
      <c r="G395" s="454"/>
      <c r="H395" s="454"/>
      <c r="I395" s="37" t="s">
        <v>5</v>
      </c>
      <c r="J395" s="36">
        <f>(3.77*2+3.81)*2.5</f>
        <v>28.375</v>
      </c>
    </row>
    <row r="396" spans="1:10" x14ac:dyDescent="0.25">
      <c r="A396" s="93"/>
      <c r="C396" s="454" t="s">
        <v>325</v>
      </c>
      <c r="D396" s="454"/>
      <c r="E396" s="454"/>
      <c r="F396" s="454"/>
      <c r="G396" s="454"/>
      <c r="H396" s="454"/>
      <c r="I396" s="37" t="s">
        <v>5</v>
      </c>
      <c r="J396" s="36">
        <f>(3.81+2.73*2+0.6*2)*2.5</f>
        <v>26.174999999999997</v>
      </c>
    </row>
    <row r="397" spans="1:10" x14ac:dyDescent="0.25">
      <c r="A397" s="93"/>
      <c r="C397" s="454" t="s">
        <v>326</v>
      </c>
      <c r="D397" s="454"/>
      <c r="E397" s="454"/>
      <c r="F397" s="454"/>
      <c r="G397" s="454"/>
      <c r="H397" s="454"/>
      <c r="I397" s="37" t="s">
        <v>5</v>
      </c>
      <c r="J397" s="36">
        <f>(65.09+6.13)*2.5</f>
        <v>178.05</v>
      </c>
    </row>
    <row r="398" spans="1:10" x14ac:dyDescent="0.25">
      <c r="A398" s="93"/>
      <c r="C398" s="454" t="s">
        <v>327</v>
      </c>
      <c r="D398" s="454"/>
      <c r="E398" s="454"/>
      <c r="F398" s="454"/>
      <c r="G398" s="454"/>
      <c r="H398" s="454"/>
      <c r="I398" s="37" t="s">
        <v>5</v>
      </c>
      <c r="J398" s="36">
        <f>(2.5*2+2*2)*2.5</f>
        <v>22.5</v>
      </c>
    </row>
    <row r="399" spans="1:10" x14ac:dyDescent="0.25">
      <c r="A399" s="93"/>
      <c r="C399" s="454" t="s">
        <v>318</v>
      </c>
      <c r="D399" s="454"/>
      <c r="E399" s="454"/>
      <c r="F399" s="454"/>
      <c r="G399" s="454"/>
      <c r="H399" s="454"/>
      <c r="I399" s="37" t="s">
        <v>5</v>
      </c>
      <c r="J399" s="36">
        <f>(6.59*2+2.59*2)*2.5</f>
        <v>45.9</v>
      </c>
    </row>
    <row r="400" spans="1:10" x14ac:dyDescent="0.25">
      <c r="A400" s="93"/>
      <c r="C400" s="454" t="s">
        <v>319</v>
      </c>
      <c r="D400" s="454"/>
      <c r="E400" s="454"/>
      <c r="F400" s="454"/>
      <c r="G400" s="454"/>
      <c r="H400" s="454"/>
      <c r="I400" s="37" t="s">
        <v>5</v>
      </c>
      <c r="J400" s="36">
        <f>(2.73*2+3.17*2)*2.5</f>
        <v>29.5</v>
      </c>
    </row>
    <row r="401" spans="1:10" x14ac:dyDescent="0.25">
      <c r="A401" s="93"/>
      <c r="C401" s="454" t="s">
        <v>320</v>
      </c>
      <c r="D401" s="454"/>
      <c r="E401" s="454"/>
      <c r="F401" s="454"/>
      <c r="G401" s="454"/>
      <c r="H401" s="454"/>
      <c r="I401" s="37" t="s">
        <v>5</v>
      </c>
      <c r="J401" s="36">
        <f>(5.44+4.37+5.94+1.83)*2.5</f>
        <v>43.949999999999996</v>
      </c>
    </row>
    <row r="402" spans="1:10" x14ac:dyDescent="0.25">
      <c r="A402" s="93"/>
      <c r="C402" s="454" t="s">
        <v>321</v>
      </c>
      <c r="D402" s="454"/>
      <c r="E402" s="454"/>
      <c r="F402" s="454"/>
      <c r="G402" s="454"/>
      <c r="H402" s="454"/>
      <c r="I402" s="37" t="s">
        <v>5</v>
      </c>
      <c r="J402" s="36">
        <f>8.27*2.5</f>
        <v>20.674999999999997</v>
      </c>
    </row>
    <row r="403" spans="1:10" x14ac:dyDescent="0.25">
      <c r="A403" s="93"/>
      <c r="C403" s="454" t="s">
        <v>322</v>
      </c>
      <c r="D403" s="454"/>
      <c r="E403" s="454"/>
      <c r="F403" s="454"/>
      <c r="G403" s="454"/>
      <c r="H403" s="454"/>
      <c r="I403" s="37" t="s">
        <v>5</v>
      </c>
      <c r="J403" s="36">
        <f>(4.67*2+7.15*2)*2.5</f>
        <v>59.1</v>
      </c>
    </row>
    <row r="404" spans="1:10" x14ac:dyDescent="0.25">
      <c r="A404" s="93"/>
      <c r="C404" s="454" t="s">
        <v>356</v>
      </c>
      <c r="D404" s="454"/>
      <c r="E404" s="454"/>
      <c r="F404" s="454"/>
      <c r="G404" s="454"/>
      <c r="H404" s="454"/>
      <c r="I404" s="37" t="s">
        <v>5</v>
      </c>
      <c r="J404" s="36">
        <f>86.68*2.5</f>
        <v>216.70000000000002</v>
      </c>
    </row>
    <row r="405" spans="1:10" x14ac:dyDescent="0.25">
      <c r="A405" s="93"/>
      <c r="C405" s="454" t="s">
        <v>355</v>
      </c>
      <c r="D405" s="454"/>
      <c r="E405" s="454"/>
      <c r="F405" s="454"/>
      <c r="G405" s="454"/>
      <c r="H405" s="454"/>
      <c r="I405" s="37" t="s">
        <v>5</v>
      </c>
      <c r="J405" s="36">
        <f>87.15*2.5</f>
        <v>217.875</v>
      </c>
    </row>
    <row r="406" spans="1:10" x14ac:dyDescent="0.25">
      <c r="A406" s="93"/>
      <c r="C406" s="454"/>
      <c r="D406" s="454"/>
      <c r="E406" s="454"/>
      <c r="F406" s="454"/>
      <c r="G406" s="454"/>
      <c r="H406" s="454"/>
      <c r="J406" s="36"/>
    </row>
    <row r="407" spans="1:10" ht="15" customHeight="1" x14ac:dyDescent="0.25">
      <c r="A407" s="125" t="s">
        <v>96</v>
      </c>
      <c r="B407" s="126" t="s">
        <v>6</v>
      </c>
      <c r="C407" s="460" t="s">
        <v>27</v>
      </c>
      <c r="D407" s="460"/>
      <c r="E407" s="460"/>
      <c r="F407" s="460"/>
      <c r="G407" s="460"/>
      <c r="H407" s="460"/>
      <c r="I407" s="120" t="s">
        <v>5</v>
      </c>
      <c r="J407" s="121">
        <f>SUM(J408:J414)</f>
        <v>3.3150999999999997</v>
      </c>
    </row>
    <row r="408" spans="1:10" x14ac:dyDescent="0.25">
      <c r="A408" s="93"/>
      <c r="C408" s="454" t="s">
        <v>316</v>
      </c>
      <c r="D408" s="454"/>
      <c r="E408" s="454"/>
      <c r="F408" s="454"/>
      <c r="G408" s="454"/>
      <c r="H408" s="454"/>
      <c r="I408" s="37" t="s">
        <v>5</v>
      </c>
      <c r="J408" s="36">
        <f>2.84*0.15</f>
        <v>0.42599999999999999</v>
      </c>
    </row>
    <row r="409" spans="1:10" x14ac:dyDescent="0.25">
      <c r="A409" s="93"/>
      <c r="C409" s="454" t="s">
        <v>324</v>
      </c>
      <c r="D409" s="454"/>
      <c r="E409" s="454"/>
      <c r="F409" s="454"/>
      <c r="G409" s="454"/>
      <c r="H409" s="454"/>
      <c r="I409" s="37" t="s">
        <v>5</v>
      </c>
      <c r="J409" s="36">
        <f>3.15*0.15</f>
        <v>0.47249999999999998</v>
      </c>
    </row>
    <row r="410" spans="1:10" x14ac:dyDescent="0.25">
      <c r="A410" s="93"/>
      <c r="C410" s="454" t="s">
        <v>315</v>
      </c>
      <c r="D410" s="454"/>
      <c r="E410" s="454"/>
      <c r="F410" s="454"/>
      <c r="G410" s="454"/>
      <c r="H410" s="454"/>
      <c r="I410" s="37" t="s">
        <v>5</v>
      </c>
      <c r="J410" s="36">
        <f>3.68*0.16</f>
        <v>0.58879999999999999</v>
      </c>
    </row>
    <row r="411" spans="1:10" x14ac:dyDescent="0.25">
      <c r="A411" s="93"/>
      <c r="C411" s="454" t="s">
        <v>323</v>
      </c>
      <c r="D411" s="454"/>
      <c r="E411" s="454"/>
      <c r="F411" s="454"/>
      <c r="G411" s="454"/>
      <c r="H411" s="454"/>
      <c r="I411" s="37" t="s">
        <v>5</v>
      </c>
      <c r="J411" s="36">
        <f>3.68*0.16</f>
        <v>0.58879999999999999</v>
      </c>
    </row>
    <row r="412" spans="1:10" x14ac:dyDescent="0.25">
      <c r="A412" s="93"/>
      <c r="C412" s="454" t="s">
        <v>325</v>
      </c>
      <c r="D412" s="454"/>
      <c r="E412" s="454"/>
      <c r="F412" s="454"/>
      <c r="G412" s="454"/>
      <c r="H412" s="454"/>
      <c r="I412" s="37" t="s">
        <v>5</v>
      </c>
      <c r="J412" s="36">
        <f>3.81*0.14</f>
        <v>0.5334000000000001</v>
      </c>
    </row>
    <row r="413" spans="1:10" x14ac:dyDescent="0.25">
      <c r="A413" s="93"/>
      <c r="C413" s="454" t="s">
        <v>320</v>
      </c>
      <c r="D413" s="454"/>
      <c r="E413" s="454"/>
      <c r="F413" s="454"/>
      <c r="G413" s="454"/>
      <c r="H413" s="454"/>
      <c r="I413" s="37" t="s">
        <v>5</v>
      </c>
      <c r="J413" s="36">
        <f>(3.47+1.57)*0.14</f>
        <v>0.70560000000000012</v>
      </c>
    </row>
    <row r="414" spans="1:10" x14ac:dyDescent="0.25">
      <c r="A414" s="93"/>
      <c r="C414" s="454"/>
      <c r="D414" s="454"/>
      <c r="E414" s="454"/>
      <c r="F414" s="454"/>
      <c r="G414" s="454"/>
      <c r="H414" s="454"/>
      <c r="J414" s="36"/>
    </row>
    <row r="415" spans="1:10" ht="15" customHeight="1" x14ac:dyDescent="0.25">
      <c r="A415" s="125" t="s">
        <v>97</v>
      </c>
      <c r="B415" s="126" t="s">
        <v>6</v>
      </c>
      <c r="C415" s="460" t="s">
        <v>28</v>
      </c>
      <c r="D415" s="460"/>
      <c r="E415" s="460"/>
      <c r="F415" s="460"/>
      <c r="G415" s="460"/>
      <c r="H415" s="460"/>
      <c r="I415" s="120" t="s">
        <v>5</v>
      </c>
      <c r="J415" s="121">
        <f>SUM(J416:J433)</f>
        <v>992.45</v>
      </c>
    </row>
    <row r="416" spans="1:10" x14ac:dyDescent="0.25">
      <c r="A416" s="93"/>
      <c r="C416" s="454" t="s">
        <v>316</v>
      </c>
      <c r="D416" s="454"/>
      <c r="E416" s="454"/>
      <c r="F416" s="454"/>
      <c r="G416" s="454"/>
      <c r="H416" s="454"/>
      <c r="I416" s="37" t="s">
        <v>5</v>
      </c>
      <c r="J416" s="36">
        <f>(2.62*2+2.84)*2.5</f>
        <v>20.2</v>
      </c>
    </row>
    <row r="417" spans="1:10" x14ac:dyDescent="0.25">
      <c r="A417" s="93"/>
      <c r="C417" s="454" t="s">
        <v>313</v>
      </c>
      <c r="D417" s="454"/>
      <c r="E417" s="454"/>
      <c r="F417" s="454"/>
      <c r="G417" s="454"/>
      <c r="H417" s="454"/>
      <c r="I417" s="37" t="s">
        <v>5</v>
      </c>
      <c r="J417" s="36">
        <f>31.07*2.5</f>
        <v>77.674999999999997</v>
      </c>
    </row>
    <row r="418" spans="1:10" x14ac:dyDescent="0.25">
      <c r="A418" s="93"/>
      <c r="C418" s="454" t="s">
        <v>324</v>
      </c>
      <c r="D418" s="454"/>
      <c r="E418" s="454"/>
      <c r="F418" s="454"/>
      <c r="G418" s="454"/>
      <c r="H418" s="454"/>
      <c r="I418" s="37" t="s">
        <v>5</v>
      </c>
      <c r="J418" s="36">
        <f>(2.81*2+0.6*2+3.15)*2.5</f>
        <v>24.925000000000001</v>
      </c>
    </row>
    <row r="419" spans="1:10" x14ac:dyDescent="0.25">
      <c r="A419" s="93"/>
      <c r="C419" s="454" t="s">
        <v>314</v>
      </c>
      <c r="D419" s="454"/>
      <c r="E419" s="454"/>
      <c r="F419" s="454"/>
      <c r="G419" s="454"/>
      <c r="H419" s="454"/>
      <c r="I419" s="37" t="s">
        <v>5</v>
      </c>
      <c r="J419" s="36">
        <f>(2.98+10.84+29.63)*2.5</f>
        <v>108.625</v>
      </c>
    </row>
    <row r="420" spans="1:10" x14ac:dyDescent="0.25">
      <c r="A420" s="93"/>
      <c r="C420" s="454" t="s">
        <v>315</v>
      </c>
      <c r="D420" s="454"/>
      <c r="E420" s="454"/>
      <c r="F420" s="454"/>
      <c r="G420" s="454"/>
      <c r="H420" s="454"/>
      <c r="I420" s="37" t="s">
        <v>5</v>
      </c>
      <c r="J420" s="36">
        <f>(2.76*2+3.64+0.6*2)*2.5</f>
        <v>25.9</v>
      </c>
    </row>
    <row r="421" spans="1:10" x14ac:dyDescent="0.25">
      <c r="A421" s="93"/>
      <c r="C421" s="454" t="s">
        <v>323</v>
      </c>
      <c r="D421" s="454"/>
      <c r="E421" s="454"/>
      <c r="F421" s="454"/>
      <c r="G421" s="454"/>
      <c r="H421" s="454"/>
      <c r="I421" s="37" t="s">
        <v>5</v>
      </c>
      <c r="J421" s="36">
        <f>(4.28+0.6+2.85*2)*2.5</f>
        <v>26.45</v>
      </c>
    </row>
    <row r="422" spans="1:10" x14ac:dyDescent="0.25">
      <c r="A422" s="93"/>
      <c r="C422" s="454" t="s">
        <v>317</v>
      </c>
      <c r="D422" s="454"/>
      <c r="E422" s="454"/>
      <c r="F422" s="454"/>
      <c r="G422" s="454"/>
      <c r="H422" s="454"/>
      <c r="I422" s="37" t="s">
        <v>5</v>
      </c>
      <c r="J422" s="36">
        <f>(3.77*2+3.81)*2.5</f>
        <v>28.375</v>
      </c>
    </row>
    <row r="423" spans="1:10" x14ac:dyDescent="0.25">
      <c r="A423" s="93"/>
      <c r="C423" s="454" t="s">
        <v>325</v>
      </c>
      <c r="D423" s="454"/>
      <c r="E423" s="454"/>
      <c r="F423" s="454"/>
      <c r="G423" s="454"/>
      <c r="H423" s="454"/>
      <c r="I423" s="37" t="s">
        <v>5</v>
      </c>
      <c r="J423" s="36">
        <f>(3.81+2.73*2+0.6*2)*2.5</f>
        <v>26.174999999999997</v>
      </c>
    </row>
    <row r="424" spans="1:10" x14ac:dyDescent="0.25">
      <c r="A424" s="93"/>
      <c r="C424" s="454" t="s">
        <v>326</v>
      </c>
      <c r="D424" s="454"/>
      <c r="E424" s="454"/>
      <c r="F424" s="454"/>
      <c r="G424" s="454"/>
      <c r="H424" s="454"/>
      <c r="I424" s="37" t="s">
        <v>5</v>
      </c>
      <c r="J424" s="36">
        <f>(65.09+6.13)*2.5</f>
        <v>178.05</v>
      </c>
    </row>
    <row r="425" spans="1:10" x14ac:dyDescent="0.25">
      <c r="A425" s="93"/>
      <c r="C425" s="454" t="s">
        <v>327</v>
      </c>
      <c r="D425" s="454"/>
      <c r="E425" s="454"/>
      <c r="F425" s="454"/>
      <c r="G425" s="454"/>
      <c r="H425" s="454"/>
      <c r="I425" s="37" t="s">
        <v>5</v>
      </c>
      <c r="J425" s="36">
        <f>(2.5*2+2*2)*2.5</f>
        <v>22.5</v>
      </c>
    </row>
    <row r="426" spans="1:10" x14ac:dyDescent="0.25">
      <c r="A426" s="93"/>
      <c r="C426" s="454" t="s">
        <v>318</v>
      </c>
      <c r="D426" s="454"/>
      <c r="E426" s="454"/>
      <c r="F426" s="454"/>
      <c r="G426" s="454"/>
      <c r="H426" s="454"/>
      <c r="I426" s="37" t="s">
        <v>5</v>
      </c>
      <c r="J426" s="36">
        <f>(6.59*2+2.59*2)*2.5</f>
        <v>45.9</v>
      </c>
    </row>
    <row r="427" spans="1:10" x14ac:dyDescent="0.25">
      <c r="A427" s="93"/>
      <c r="C427" s="454" t="s">
        <v>319</v>
      </c>
      <c r="D427" s="454"/>
      <c r="E427" s="454"/>
      <c r="F427" s="454"/>
      <c r="G427" s="454"/>
      <c r="H427" s="454"/>
      <c r="I427" s="37" t="s">
        <v>5</v>
      </c>
      <c r="J427" s="36">
        <f>(2.73*2+3.17*2)*2.5</f>
        <v>29.5</v>
      </c>
    </row>
    <row r="428" spans="1:10" x14ac:dyDescent="0.25">
      <c r="A428" s="93"/>
      <c r="C428" s="454" t="s">
        <v>320</v>
      </c>
      <c r="D428" s="454"/>
      <c r="E428" s="454"/>
      <c r="F428" s="454"/>
      <c r="G428" s="454"/>
      <c r="H428" s="454"/>
      <c r="I428" s="37" t="s">
        <v>5</v>
      </c>
      <c r="J428" s="36">
        <f>(5.44+4.37+5.94+1.83)*2.5</f>
        <v>43.949999999999996</v>
      </c>
    </row>
    <row r="429" spans="1:10" x14ac:dyDescent="0.25">
      <c r="A429" s="93"/>
      <c r="C429" s="454" t="s">
        <v>321</v>
      </c>
      <c r="D429" s="454"/>
      <c r="E429" s="454"/>
      <c r="F429" s="454"/>
      <c r="G429" s="454"/>
      <c r="H429" s="454"/>
      <c r="I429" s="37" t="s">
        <v>5</v>
      </c>
      <c r="J429" s="36">
        <f>8.27*2.5</f>
        <v>20.674999999999997</v>
      </c>
    </row>
    <row r="430" spans="1:10" x14ac:dyDescent="0.25">
      <c r="A430" s="93"/>
      <c r="C430" s="454" t="s">
        <v>322</v>
      </c>
      <c r="D430" s="454"/>
      <c r="E430" s="454"/>
      <c r="F430" s="454"/>
      <c r="G430" s="454"/>
      <c r="H430" s="454"/>
      <c r="I430" s="37" t="s">
        <v>5</v>
      </c>
      <c r="J430" s="36">
        <f>(4.67*2+7.15*2)*2.5</f>
        <v>59.1</v>
      </c>
    </row>
    <row r="431" spans="1:10" x14ac:dyDescent="0.25">
      <c r="A431" s="93"/>
      <c r="C431" s="454" t="s">
        <v>356</v>
      </c>
      <c r="D431" s="454"/>
      <c r="E431" s="454"/>
      <c r="F431" s="454"/>
      <c r="G431" s="454"/>
      <c r="H431" s="454"/>
      <c r="I431" s="37" t="s">
        <v>5</v>
      </c>
      <c r="J431" s="36">
        <f>86.68*2.5</f>
        <v>216.70000000000002</v>
      </c>
    </row>
    <row r="432" spans="1:10" x14ac:dyDescent="0.25">
      <c r="A432" s="93"/>
      <c r="C432" s="454" t="s">
        <v>355</v>
      </c>
      <c r="D432" s="454"/>
      <c r="E432" s="454"/>
      <c r="F432" s="454"/>
      <c r="G432" s="454"/>
      <c r="H432" s="454"/>
      <c r="I432" s="37" t="s">
        <v>5</v>
      </c>
      <c r="J432" s="36">
        <f>(5.94*2+1.61*2)*2.5</f>
        <v>37.75</v>
      </c>
    </row>
    <row r="433" spans="1:10" ht="15.75" thickBot="1" x14ac:dyDescent="0.3">
      <c r="A433" s="93"/>
      <c r="C433" s="454"/>
      <c r="D433" s="454"/>
      <c r="E433" s="454"/>
      <c r="F433" s="454"/>
      <c r="G433" s="454"/>
      <c r="H433" s="454"/>
      <c r="J433" s="36"/>
    </row>
    <row r="434" spans="1:10" s="120" customFormat="1" ht="15.75" thickBot="1" x14ac:dyDescent="0.3">
      <c r="A434" s="122">
        <v>14</v>
      </c>
      <c r="B434" s="123"/>
      <c r="C434" s="461" t="s">
        <v>174</v>
      </c>
      <c r="D434" s="461"/>
      <c r="E434" s="461"/>
      <c r="F434" s="461"/>
      <c r="G434" s="461"/>
      <c r="H434" s="461"/>
      <c r="I434" s="123"/>
      <c r="J434" s="124"/>
    </row>
    <row r="435" spans="1:10" ht="15" customHeight="1" x14ac:dyDescent="0.25">
      <c r="A435" s="125" t="s">
        <v>557</v>
      </c>
      <c r="B435" s="126" t="s">
        <v>156</v>
      </c>
      <c r="C435" s="460" t="str">
        <f>'Orçamento '!D286</f>
        <v>MINI ÁRVORE COM AVENCA PRESERVADA E VASO EM POLIPROPILENO OVAL BRANCO 30X30CM - INCLUSO SUBSTRATO</v>
      </c>
      <c r="D435" s="460"/>
      <c r="E435" s="460"/>
      <c r="F435" s="460"/>
      <c r="G435" s="460"/>
      <c r="H435" s="460"/>
      <c r="I435" s="120" t="s">
        <v>157</v>
      </c>
      <c r="J435" s="121">
        <f>SUM(J436:J442)</f>
        <v>9</v>
      </c>
    </row>
    <row r="436" spans="1:10" x14ac:dyDescent="0.25">
      <c r="A436" s="93"/>
      <c r="C436" s="454" t="s">
        <v>313</v>
      </c>
      <c r="D436" s="454"/>
      <c r="E436" s="454"/>
      <c r="F436" s="454"/>
      <c r="G436" s="454"/>
      <c r="H436" s="454"/>
      <c r="I436" s="37" t="s">
        <v>307</v>
      </c>
      <c r="J436" s="36">
        <v>1</v>
      </c>
    </row>
    <row r="437" spans="1:10" x14ac:dyDescent="0.25">
      <c r="A437" s="93"/>
      <c r="C437" s="454" t="s">
        <v>324</v>
      </c>
      <c r="D437" s="454"/>
      <c r="E437" s="454"/>
      <c r="F437" s="454"/>
      <c r="G437" s="454"/>
      <c r="H437" s="454"/>
      <c r="I437" s="37" t="s">
        <v>307</v>
      </c>
      <c r="J437" s="36">
        <v>1</v>
      </c>
    </row>
    <row r="438" spans="1:10" x14ac:dyDescent="0.25">
      <c r="A438" s="93"/>
      <c r="C438" s="454" t="s">
        <v>314</v>
      </c>
      <c r="D438" s="454"/>
      <c r="E438" s="454"/>
      <c r="F438" s="454"/>
      <c r="G438" s="454"/>
      <c r="H438" s="454"/>
      <c r="I438" s="37" t="s">
        <v>307</v>
      </c>
      <c r="J438" s="36">
        <v>3</v>
      </c>
    </row>
    <row r="439" spans="1:10" x14ac:dyDescent="0.25">
      <c r="A439" s="93"/>
      <c r="C439" s="454" t="s">
        <v>323</v>
      </c>
      <c r="D439" s="454"/>
      <c r="E439" s="454"/>
      <c r="F439" s="454"/>
      <c r="G439" s="454"/>
      <c r="H439" s="454"/>
      <c r="I439" s="37" t="s">
        <v>307</v>
      </c>
      <c r="J439" s="36">
        <v>1</v>
      </c>
    </row>
    <row r="440" spans="1:10" x14ac:dyDescent="0.25">
      <c r="A440" s="93"/>
      <c r="C440" s="454" t="s">
        <v>325</v>
      </c>
      <c r="D440" s="454"/>
      <c r="E440" s="454"/>
      <c r="F440" s="454"/>
      <c r="G440" s="454"/>
      <c r="H440" s="454"/>
      <c r="I440" s="37" t="s">
        <v>307</v>
      </c>
      <c r="J440" s="36">
        <v>1</v>
      </c>
    </row>
    <row r="441" spans="1:10" x14ac:dyDescent="0.25">
      <c r="A441" s="93"/>
      <c r="C441" s="454" t="s">
        <v>320</v>
      </c>
      <c r="D441" s="454"/>
      <c r="E441" s="454"/>
      <c r="F441" s="454"/>
      <c r="G441" s="454"/>
      <c r="H441" s="454"/>
      <c r="I441" s="37" t="s">
        <v>307</v>
      </c>
      <c r="J441" s="36">
        <v>1</v>
      </c>
    </row>
    <row r="442" spans="1:10" x14ac:dyDescent="0.25">
      <c r="A442" s="93"/>
      <c r="C442" s="454" t="s">
        <v>321</v>
      </c>
      <c r="D442" s="454"/>
      <c r="E442" s="454"/>
      <c r="F442" s="454"/>
      <c r="G442" s="454"/>
      <c r="H442" s="454"/>
      <c r="I442" s="37" t="s">
        <v>307</v>
      </c>
      <c r="J442" s="36">
        <v>1</v>
      </c>
    </row>
    <row r="443" spans="1:10" ht="15.75" thickBot="1" x14ac:dyDescent="0.3">
      <c r="A443" s="93"/>
      <c r="C443" s="454"/>
      <c r="D443" s="454"/>
      <c r="E443" s="454"/>
      <c r="F443" s="454"/>
      <c r="G443" s="454"/>
      <c r="H443" s="454"/>
      <c r="J443" s="36"/>
    </row>
    <row r="444" spans="1:10" s="120" customFormat="1" ht="15.75" thickBot="1" x14ac:dyDescent="0.3">
      <c r="A444" s="122">
        <v>15</v>
      </c>
      <c r="B444" s="123"/>
      <c r="C444" s="461" t="str">
        <f>'Orçamento '!$D$288</f>
        <v>CORTINAS E MOBILIÁRIOS</v>
      </c>
      <c r="D444" s="461"/>
      <c r="E444" s="461"/>
      <c r="F444" s="461"/>
      <c r="G444" s="461"/>
      <c r="H444" s="461"/>
      <c r="I444" s="123"/>
      <c r="J444" s="124"/>
    </row>
    <row r="445" spans="1:10" ht="29.25" customHeight="1" x14ac:dyDescent="0.25">
      <c r="A445" s="125" t="s">
        <v>227</v>
      </c>
      <c r="B445" s="126" t="s">
        <v>227</v>
      </c>
      <c r="C445" s="460" t="s">
        <v>357</v>
      </c>
      <c r="D445" s="460"/>
      <c r="E445" s="460"/>
      <c r="F445" s="460"/>
      <c r="G445" s="460"/>
      <c r="H445" s="460"/>
      <c r="I445" s="120" t="s">
        <v>157</v>
      </c>
      <c r="J445" s="121">
        <f>J446</f>
        <v>1</v>
      </c>
    </row>
    <row r="446" spans="1:10" x14ac:dyDescent="0.25">
      <c r="A446" s="93"/>
      <c r="C446" s="454" t="s">
        <v>311</v>
      </c>
      <c r="D446" s="454"/>
      <c r="E446" s="454"/>
      <c r="F446" s="454"/>
      <c r="G446" s="454"/>
      <c r="H446" s="454"/>
      <c r="I446" s="37" t="s">
        <v>307</v>
      </c>
      <c r="J446" s="36">
        <v>1</v>
      </c>
    </row>
    <row r="447" spans="1:10" ht="17.25" customHeight="1" x14ac:dyDescent="0.25">
      <c r="A447" s="455"/>
      <c r="B447" s="454"/>
      <c r="C447" s="454"/>
      <c r="D447" s="454"/>
      <c r="E447" s="454"/>
      <c r="F447" s="454"/>
      <c r="G447" s="454"/>
      <c r="H447" s="454"/>
      <c r="I447" s="454"/>
      <c r="J447" s="456"/>
    </row>
    <row r="448" spans="1:10" ht="30" customHeight="1" x14ac:dyDescent="0.25">
      <c r="A448" s="125" t="s">
        <v>228</v>
      </c>
      <c r="B448" s="126" t="s">
        <v>228</v>
      </c>
      <c r="C448" s="460" t="s">
        <v>358</v>
      </c>
      <c r="D448" s="460"/>
      <c r="E448" s="460"/>
      <c r="F448" s="460"/>
      <c r="G448" s="460"/>
      <c r="H448" s="460"/>
      <c r="I448" s="120" t="s">
        <v>157</v>
      </c>
      <c r="J448" s="121">
        <f>J449</f>
        <v>1</v>
      </c>
    </row>
    <row r="449" spans="1:10" x14ac:dyDescent="0.25">
      <c r="A449" s="93"/>
      <c r="C449" s="454" t="s">
        <v>311</v>
      </c>
      <c r="D449" s="454"/>
      <c r="E449" s="454"/>
      <c r="F449" s="454"/>
      <c r="G449" s="454"/>
      <c r="H449" s="454"/>
      <c r="I449" s="37" t="s">
        <v>307</v>
      </c>
      <c r="J449" s="36">
        <v>1</v>
      </c>
    </row>
    <row r="450" spans="1:10" ht="17.25" customHeight="1" x14ac:dyDescent="0.25">
      <c r="A450" s="455"/>
      <c r="B450" s="454"/>
      <c r="C450" s="454"/>
      <c r="D450" s="454"/>
      <c r="E450" s="454"/>
      <c r="F450" s="454"/>
      <c r="G450" s="454"/>
      <c r="H450" s="454"/>
      <c r="I450" s="454"/>
      <c r="J450" s="456"/>
    </row>
    <row r="451" spans="1:10" ht="30.75" customHeight="1" x14ac:dyDescent="0.25">
      <c r="A451" s="125" t="s">
        <v>229</v>
      </c>
      <c r="B451" s="126" t="s">
        <v>229</v>
      </c>
      <c r="C451" s="460" t="s">
        <v>359</v>
      </c>
      <c r="D451" s="460"/>
      <c r="E451" s="460"/>
      <c r="F451" s="460"/>
      <c r="G451" s="460"/>
      <c r="H451" s="460"/>
      <c r="I451" s="120" t="s">
        <v>157</v>
      </c>
      <c r="J451" s="121">
        <f>J452</f>
        <v>1</v>
      </c>
    </row>
    <row r="452" spans="1:10" x14ac:dyDescent="0.25">
      <c r="A452" s="93"/>
      <c r="C452" s="454" t="s">
        <v>311</v>
      </c>
      <c r="D452" s="454"/>
      <c r="E452" s="454"/>
      <c r="F452" s="454"/>
      <c r="G452" s="454"/>
      <c r="H452" s="454"/>
      <c r="I452" s="37" t="s">
        <v>307</v>
      </c>
      <c r="J452" s="36">
        <v>1</v>
      </c>
    </row>
    <row r="453" spans="1:10" ht="17.25" customHeight="1" x14ac:dyDescent="0.25">
      <c r="A453" s="455">
        <v>1</v>
      </c>
      <c r="B453" s="454"/>
      <c r="C453" s="454"/>
      <c r="D453" s="454"/>
      <c r="E453" s="454"/>
      <c r="F453" s="454"/>
      <c r="G453" s="454"/>
      <c r="H453" s="454"/>
      <c r="I453" s="454"/>
      <c r="J453" s="456"/>
    </row>
    <row r="454" spans="1:10" ht="30" customHeight="1" x14ac:dyDescent="0.25">
      <c r="A454" s="125" t="s">
        <v>230</v>
      </c>
      <c r="B454" s="126" t="s">
        <v>230</v>
      </c>
      <c r="C454" s="460" t="s">
        <v>844</v>
      </c>
      <c r="D454" s="460"/>
      <c r="E454" s="460"/>
      <c r="F454" s="460"/>
      <c r="G454" s="460"/>
      <c r="H454" s="460"/>
      <c r="I454" s="120" t="s">
        <v>157</v>
      </c>
      <c r="J454" s="121">
        <f>J455</f>
        <v>1</v>
      </c>
    </row>
    <row r="455" spans="1:10" x14ac:dyDescent="0.25">
      <c r="A455" s="93"/>
      <c r="C455" s="454" t="s">
        <v>311</v>
      </c>
      <c r="D455" s="454"/>
      <c r="E455" s="454"/>
      <c r="F455" s="454"/>
      <c r="G455" s="454"/>
      <c r="H455" s="454"/>
      <c r="I455" s="37" t="s">
        <v>307</v>
      </c>
      <c r="J455" s="36">
        <v>1</v>
      </c>
    </row>
    <row r="456" spans="1:10" ht="17.25" customHeight="1" x14ac:dyDescent="0.25">
      <c r="A456" s="455"/>
      <c r="B456" s="454"/>
      <c r="C456" s="454"/>
      <c r="D456" s="454"/>
      <c r="E456" s="454"/>
      <c r="F456" s="454"/>
      <c r="G456" s="454"/>
      <c r="H456" s="454"/>
      <c r="I456" s="454"/>
      <c r="J456" s="456"/>
    </row>
    <row r="457" spans="1:10" ht="30.75" customHeight="1" x14ac:dyDescent="0.25">
      <c r="A457" s="125" t="s">
        <v>231</v>
      </c>
      <c r="B457" s="126" t="s">
        <v>231</v>
      </c>
      <c r="C457" s="460" t="s">
        <v>845</v>
      </c>
      <c r="D457" s="460"/>
      <c r="E457" s="460"/>
      <c r="F457" s="460"/>
      <c r="G457" s="460"/>
      <c r="H457" s="460"/>
      <c r="I457" s="120" t="s">
        <v>157</v>
      </c>
      <c r="J457" s="121">
        <f>J458</f>
        <v>1</v>
      </c>
    </row>
    <row r="458" spans="1:10" x14ac:dyDescent="0.25">
      <c r="A458" s="93"/>
      <c r="C458" s="454" t="s">
        <v>311</v>
      </c>
      <c r="D458" s="454"/>
      <c r="E458" s="454"/>
      <c r="F458" s="454"/>
      <c r="G458" s="454"/>
      <c r="H458" s="454"/>
      <c r="I458" s="37" t="s">
        <v>307</v>
      </c>
      <c r="J458" s="36">
        <v>1</v>
      </c>
    </row>
    <row r="459" spans="1:10" ht="17.25" customHeight="1" x14ac:dyDescent="0.25">
      <c r="A459" s="455"/>
      <c r="B459" s="454"/>
      <c r="C459" s="454"/>
      <c r="D459" s="454"/>
      <c r="E459" s="454"/>
      <c r="F459" s="454"/>
      <c r="G459" s="454"/>
      <c r="H459" s="454"/>
      <c r="I459" s="454"/>
      <c r="J459" s="456"/>
    </row>
    <row r="460" spans="1:10" ht="27.75" customHeight="1" x14ac:dyDescent="0.25">
      <c r="A460" s="125" t="s">
        <v>232</v>
      </c>
      <c r="B460" s="126" t="s">
        <v>232</v>
      </c>
      <c r="C460" s="460" t="s">
        <v>846</v>
      </c>
      <c r="D460" s="460"/>
      <c r="E460" s="460"/>
      <c r="F460" s="460"/>
      <c r="G460" s="460"/>
      <c r="H460" s="460"/>
      <c r="I460" s="120" t="s">
        <v>157</v>
      </c>
      <c r="J460" s="121">
        <f>J461</f>
        <v>1</v>
      </c>
    </row>
    <row r="461" spans="1:10" x14ac:dyDescent="0.25">
      <c r="A461" s="93"/>
      <c r="C461" s="454" t="s">
        <v>311</v>
      </c>
      <c r="D461" s="454"/>
      <c r="E461" s="454"/>
      <c r="F461" s="454"/>
      <c r="G461" s="454"/>
      <c r="H461" s="454"/>
      <c r="I461" s="37" t="s">
        <v>307</v>
      </c>
      <c r="J461" s="36">
        <v>1</v>
      </c>
    </row>
    <row r="462" spans="1:10" ht="17.25" customHeight="1" x14ac:dyDescent="0.25">
      <c r="A462" s="455"/>
      <c r="B462" s="454"/>
      <c r="C462" s="454"/>
      <c r="D462" s="454"/>
      <c r="E462" s="454"/>
      <c r="F462" s="454"/>
      <c r="G462" s="454"/>
      <c r="H462" s="454"/>
      <c r="I462" s="454"/>
      <c r="J462" s="456"/>
    </row>
    <row r="463" spans="1:10" ht="15" customHeight="1" x14ac:dyDescent="0.25">
      <c r="A463" s="125" t="s">
        <v>233</v>
      </c>
      <c r="B463" s="126" t="s">
        <v>233</v>
      </c>
      <c r="C463" s="460" t="s">
        <v>847</v>
      </c>
      <c r="D463" s="460"/>
      <c r="E463" s="460"/>
      <c r="F463" s="460"/>
      <c r="G463" s="460"/>
      <c r="H463" s="460"/>
      <c r="I463" s="120" t="s">
        <v>157</v>
      </c>
      <c r="J463" s="121">
        <f>J464</f>
        <v>1</v>
      </c>
    </row>
    <row r="464" spans="1:10" x14ac:dyDescent="0.25">
      <c r="A464" s="93"/>
      <c r="C464" s="454" t="s">
        <v>311</v>
      </c>
      <c r="D464" s="454"/>
      <c r="E464" s="454"/>
      <c r="F464" s="454"/>
      <c r="G464" s="454"/>
      <c r="H464" s="454"/>
      <c r="I464" s="37" t="s">
        <v>307</v>
      </c>
      <c r="J464" s="36">
        <v>1</v>
      </c>
    </row>
    <row r="465" spans="1:10" ht="17.25" customHeight="1" x14ac:dyDescent="0.25">
      <c r="A465" s="455"/>
      <c r="B465" s="454"/>
      <c r="C465" s="454"/>
      <c r="D465" s="454"/>
      <c r="E465" s="454"/>
      <c r="F465" s="454"/>
      <c r="G465" s="454"/>
      <c r="H465" s="454"/>
      <c r="I465" s="454"/>
      <c r="J465" s="456"/>
    </row>
    <row r="466" spans="1:10" ht="30.75" customHeight="1" x14ac:dyDescent="0.25">
      <c r="A466" s="125" t="s">
        <v>234</v>
      </c>
      <c r="B466" s="126" t="s">
        <v>234</v>
      </c>
      <c r="C466" s="460" t="s">
        <v>848</v>
      </c>
      <c r="D466" s="460"/>
      <c r="E466" s="460"/>
      <c r="F466" s="460"/>
      <c r="G466" s="460"/>
      <c r="H466" s="460"/>
      <c r="I466" s="120" t="s">
        <v>157</v>
      </c>
      <c r="J466" s="121">
        <f>J467</f>
        <v>1</v>
      </c>
    </row>
    <row r="467" spans="1:10" x14ac:dyDescent="0.25">
      <c r="A467" s="93"/>
      <c r="C467" s="454" t="s">
        <v>311</v>
      </c>
      <c r="D467" s="454"/>
      <c r="E467" s="454"/>
      <c r="F467" s="454"/>
      <c r="G467" s="454"/>
      <c r="H467" s="454"/>
      <c r="I467" s="37" t="s">
        <v>307</v>
      </c>
      <c r="J467" s="36">
        <v>1</v>
      </c>
    </row>
    <row r="468" spans="1:10" ht="17.25" customHeight="1" x14ac:dyDescent="0.25">
      <c r="A468" s="455"/>
      <c r="B468" s="454"/>
      <c r="C468" s="454"/>
      <c r="D468" s="454"/>
      <c r="E468" s="454"/>
      <c r="F468" s="454"/>
      <c r="G468" s="454"/>
      <c r="H468" s="454"/>
      <c r="I468" s="454"/>
      <c r="J468" s="456"/>
    </row>
    <row r="469" spans="1:10" ht="29.25" customHeight="1" x14ac:dyDescent="0.25">
      <c r="A469" s="125" t="s">
        <v>235</v>
      </c>
      <c r="B469" s="126" t="s">
        <v>235</v>
      </c>
      <c r="C469" s="460" t="s">
        <v>849</v>
      </c>
      <c r="D469" s="460"/>
      <c r="E469" s="460"/>
      <c r="F469" s="460"/>
      <c r="G469" s="460"/>
      <c r="H469" s="460"/>
      <c r="I469" s="120" t="s">
        <v>157</v>
      </c>
      <c r="J469" s="121">
        <f>J470</f>
        <v>1</v>
      </c>
    </row>
    <row r="470" spans="1:10" x14ac:dyDescent="0.25">
      <c r="A470" s="93"/>
      <c r="C470" s="454" t="s">
        <v>311</v>
      </c>
      <c r="D470" s="454"/>
      <c r="E470" s="454"/>
      <c r="F470" s="454"/>
      <c r="G470" s="454"/>
      <c r="H470" s="454"/>
      <c r="I470" s="37" t="s">
        <v>307</v>
      </c>
      <c r="J470" s="36">
        <v>1</v>
      </c>
    </row>
    <row r="471" spans="1:10" ht="17.25" customHeight="1" x14ac:dyDescent="0.25">
      <c r="A471" s="455"/>
      <c r="B471" s="454"/>
      <c r="C471" s="454"/>
      <c r="D471" s="454"/>
      <c r="E471" s="454"/>
      <c r="F471" s="454"/>
      <c r="G471" s="454"/>
      <c r="H471" s="454"/>
      <c r="I471" s="454"/>
      <c r="J471" s="456"/>
    </row>
    <row r="472" spans="1:10" ht="29.25" customHeight="1" x14ac:dyDescent="0.25">
      <c r="A472" s="125" t="s">
        <v>236</v>
      </c>
      <c r="B472" s="126" t="s">
        <v>236</v>
      </c>
      <c r="C472" s="460" t="s">
        <v>850</v>
      </c>
      <c r="D472" s="460"/>
      <c r="E472" s="460"/>
      <c r="F472" s="460"/>
      <c r="G472" s="460"/>
      <c r="H472" s="460"/>
      <c r="I472" s="120" t="s">
        <v>157</v>
      </c>
      <c r="J472" s="121">
        <f>J473</f>
        <v>1</v>
      </c>
    </row>
    <row r="473" spans="1:10" x14ac:dyDescent="0.25">
      <c r="A473" s="93"/>
      <c r="C473" s="454" t="s">
        <v>311</v>
      </c>
      <c r="D473" s="454"/>
      <c r="E473" s="454"/>
      <c r="F473" s="454"/>
      <c r="G473" s="454"/>
      <c r="H473" s="454"/>
      <c r="I473" s="37" t="s">
        <v>307</v>
      </c>
      <c r="J473" s="36">
        <v>1</v>
      </c>
    </row>
    <row r="474" spans="1:10" ht="17.25" customHeight="1" x14ac:dyDescent="0.25">
      <c r="A474" s="455"/>
      <c r="B474" s="454"/>
      <c r="C474" s="454"/>
      <c r="D474" s="454"/>
      <c r="E474" s="454"/>
      <c r="F474" s="454"/>
      <c r="G474" s="454"/>
      <c r="H474" s="454"/>
      <c r="I474" s="454"/>
      <c r="J474" s="456"/>
    </row>
    <row r="475" spans="1:10" ht="29.25" customHeight="1" x14ac:dyDescent="0.25">
      <c r="A475" s="125" t="s">
        <v>237</v>
      </c>
      <c r="B475" s="126" t="s">
        <v>237</v>
      </c>
      <c r="C475" s="460" t="s">
        <v>851</v>
      </c>
      <c r="D475" s="460"/>
      <c r="E475" s="460"/>
      <c r="F475" s="460"/>
      <c r="G475" s="460"/>
      <c r="H475" s="460"/>
      <c r="I475" s="120" t="s">
        <v>157</v>
      </c>
      <c r="J475" s="121">
        <f>J476</f>
        <v>2</v>
      </c>
    </row>
    <row r="476" spans="1:10" x14ac:dyDescent="0.25">
      <c r="A476" s="93"/>
      <c r="C476" s="454" t="s">
        <v>311</v>
      </c>
      <c r="D476" s="454"/>
      <c r="E476" s="454"/>
      <c r="F476" s="454"/>
      <c r="G476" s="454"/>
      <c r="H476" s="454"/>
      <c r="I476" s="37" t="s">
        <v>307</v>
      </c>
      <c r="J476" s="36">
        <v>2</v>
      </c>
    </row>
    <row r="477" spans="1:10" ht="17.25" customHeight="1" x14ac:dyDescent="0.25">
      <c r="A477" s="455"/>
      <c r="B477" s="454"/>
      <c r="C477" s="454"/>
      <c r="D477" s="454"/>
      <c r="E477" s="454"/>
      <c r="F477" s="454"/>
      <c r="G477" s="454"/>
      <c r="H477" s="454"/>
      <c r="I477" s="454"/>
      <c r="J477" s="456"/>
    </row>
    <row r="478" spans="1:10" ht="30" customHeight="1" x14ac:dyDescent="0.25">
      <c r="A478" s="125" t="s">
        <v>238</v>
      </c>
      <c r="B478" s="126" t="s">
        <v>238</v>
      </c>
      <c r="C478" s="460" t="s">
        <v>852</v>
      </c>
      <c r="D478" s="460"/>
      <c r="E478" s="460"/>
      <c r="F478" s="460"/>
      <c r="G478" s="460"/>
      <c r="H478" s="460"/>
      <c r="I478" s="120" t="s">
        <v>157</v>
      </c>
      <c r="J478" s="121">
        <f>J479</f>
        <v>1</v>
      </c>
    </row>
    <row r="479" spans="1:10" x14ac:dyDescent="0.25">
      <c r="A479" s="93"/>
      <c r="C479" s="454" t="s">
        <v>311</v>
      </c>
      <c r="D479" s="454"/>
      <c r="E479" s="454"/>
      <c r="F479" s="454"/>
      <c r="G479" s="454"/>
      <c r="H479" s="454"/>
      <c r="I479" s="37" t="s">
        <v>307</v>
      </c>
      <c r="J479" s="36">
        <v>1</v>
      </c>
    </row>
    <row r="480" spans="1:10" ht="17.25" customHeight="1" x14ac:dyDescent="0.25">
      <c r="A480" s="455"/>
      <c r="B480" s="454"/>
      <c r="C480" s="454"/>
      <c r="D480" s="454"/>
      <c r="E480" s="454"/>
      <c r="F480" s="454"/>
      <c r="G480" s="454"/>
      <c r="H480" s="454"/>
      <c r="I480" s="454"/>
      <c r="J480" s="456"/>
    </row>
    <row r="481" spans="1:10" ht="29.25" customHeight="1" x14ac:dyDescent="0.25">
      <c r="A481" s="125" t="s">
        <v>239</v>
      </c>
      <c r="B481" s="126" t="s">
        <v>239</v>
      </c>
      <c r="C481" s="460" t="s">
        <v>853</v>
      </c>
      <c r="D481" s="460"/>
      <c r="E481" s="460"/>
      <c r="F481" s="460"/>
      <c r="G481" s="460"/>
      <c r="H481" s="460"/>
      <c r="I481" s="120" t="s">
        <v>157</v>
      </c>
      <c r="J481" s="121">
        <f>J482</f>
        <v>1</v>
      </c>
    </row>
    <row r="482" spans="1:10" x14ac:dyDescent="0.25">
      <c r="A482" s="93"/>
      <c r="C482" s="454" t="s">
        <v>311</v>
      </c>
      <c r="D482" s="454"/>
      <c r="E482" s="454"/>
      <c r="F482" s="454"/>
      <c r="G482" s="454"/>
      <c r="H482" s="454"/>
      <c r="I482" s="37" t="s">
        <v>307</v>
      </c>
      <c r="J482" s="36">
        <v>1</v>
      </c>
    </row>
    <row r="483" spans="1:10" ht="17.25" customHeight="1" x14ac:dyDescent="0.25">
      <c r="A483" s="455"/>
      <c r="B483" s="454"/>
      <c r="C483" s="454"/>
      <c r="D483" s="454"/>
      <c r="E483" s="454"/>
      <c r="F483" s="454"/>
      <c r="G483" s="454"/>
      <c r="H483" s="454"/>
      <c r="I483" s="454"/>
      <c r="J483" s="456"/>
    </row>
    <row r="484" spans="1:10" ht="29.25" customHeight="1" x14ac:dyDescent="0.25">
      <c r="A484" s="125" t="s">
        <v>240</v>
      </c>
      <c r="B484" s="126" t="s">
        <v>240</v>
      </c>
      <c r="C484" s="460" t="s">
        <v>854</v>
      </c>
      <c r="D484" s="460"/>
      <c r="E484" s="460"/>
      <c r="F484" s="460"/>
      <c r="G484" s="460"/>
      <c r="H484" s="460"/>
      <c r="I484" s="120" t="s">
        <v>157</v>
      </c>
      <c r="J484" s="121">
        <f>J485</f>
        <v>2</v>
      </c>
    </row>
    <row r="485" spans="1:10" x14ac:dyDescent="0.25">
      <c r="A485" s="93"/>
      <c r="C485" s="454" t="s">
        <v>311</v>
      </c>
      <c r="D485" s="454"/>
      <c r="E485" s="454"/>
      <c r="F485" s="454"/>
      <c r="G485" s="454"/>
      <c r="H485" s="454"/>
      <c r="I485" s="37" t="s">
        <v>307</v>
      </c>
      <c r="J485" s="36">
        <v>2</v>
      </c>
    </row>
    <row r="486" spans="1:10" ht="17.25" customHeight="1" x14ac:dyDescent="0.25">
      <c r="A486" s="455"/>
      <c r="B486" s="454"/>
      <c r="C486" s="454"/>
      <c r="D486" s="454"/>
      <c r="E486" s="454"/>
      <c r="F486" s="454"/>
      <c r="G486" s="454"/>
      <c r="H486" s="454"/>
      <c r="I486" s="454"/>
      <c r="J486" s="456"/>
    </row>
    <row r="487" spans="1:10" ht="27.75" customHeight="1" x14ac:dyDescent="0.25">
      <c r="A487" s="125" t="s">
        <v>241</v>
      </c>
      <c r="B487" s="126" t="s">
        <v>241</v>
      </c>
      <c r="C487" s="460" t="s">
        <v>855</v>
      </c>
      <c r="D487" s="460"/>
      <c r="E487" s="460"/>
      <c r="F487" s="460"/>
      <c r="G487" s="460"/>
      <c r="H487" s="460"/>
      <c r="I487" s="120" t="s">
        <v>157</v>
      </c>
      <c r="J487" s="121">
        <f>J488</f>
        <v>2</v>
      </c>
    </row>
    <row r="488" spans="1:10" x14ac:dyDescent="0.25">
      <c r="A488" s="93"/>
      <c r="C488" s="454" t="s">
        <v>311</v>
      </c>
      <c r="D488" s="454"/>
      <c r="E488" s="454"/>
      <c r="F488" s="454"/>
      <c r="G488" s="454"/>
      <c r="H488" s="454"/>
      <c r="I488" s="37" t="s">
        <v>307</v>
      </c>
      <c r="J488" s="36">
        <v>2</v>
      </c>
    </row>
    <row r="489" spans="1:10" ht="17.25" customHeight="1" x14ac:dyDescent="0.25">
      <c r="A489" s="455"/>
      <c r="B489" s="454"/>
      <c r="C489" s="454"/>
      <c r="D489" s="454"/>
      <c r="E489" s="454"/>
      <c r="F489" s="454"/>
      <c r="G489" s="454"/>
      <c r="H489" s="454"/>
      <c r="I489" s="454"/>
      <c r="J489" s="456"/>
    </row>
    <row r="490" spans="1:10" ht="30" customHeight="1" x14ac:dyDescent="0.25">
      <c r="A490" s="125" t="s">
        <v>242</v>
      </c>
      <c r="B490" s="126" t="s">
        <v>242</v>
      </c>
      <c r="C490" s="460" t="s">
        <v>856</v>
      </c>
      <c r="D490" s="460"/>
      <c r="E490" s="460"/>
      <c r="F490" s="460"/>
      <c r="G490" s="460"/>
      <c r="H490" s="460"/>
      <c r="I490" s="120" t="s">
        <v>157</v>
      </c>
      <c r="J490" s="121">
        <f>J491</f>
        <v>2</v>
      </c>
    </row>
    <row r="491" spans="1:10" x14ac:dyDescent="0.25">
      <c r="A491" s="93"/>
      <c r="C491" s="454" t="s">
        <v>311</v>
      </c>
      <c r="D491" s="454"/>
      <c r="E491" s="454"/>
      <c r="F491" s="454"/>
      <c r="G491" s="454"/>
      <c r="H491" s="454"/>
      <c r="I491" s="37" t="s">
        <v>307</v>
      </c>
      <c r="J491" s="36">
        <v>2</v>
      </c>
    </row>
    <row r="492" spans="1:10" ht="17.25" customHeight="1" x14ac:dyDescent="0.25">
      <c r="A492" s="455"/>
      <c r="B492" s="454"/>
      <c r="C492" s="454"/>
      <c r="D492" s="454"/>
      <c r="E492" s="454"/>
      <c r="F492" s="454"/>
      <c r="G492" s="454"/>
      <c r="H492" s="454"/>
      <c r="I492" s="454"/>
      <c r="J492" s="456"/>
    </row>
    <row r="493" spans="1:10" ht="30" customHeight="1" x14ac:dyDescent="0.25">
      <c r="A493" s="125" t="s">
        <v>558</v>
      </c>
      <c r="B493" s="126" t="s">
        <v>242</v>
      </c>
      <c r="C493" s="460" t="s">
        <v>857</v>
      </c>
      <c r="D493" s="460"/>
      <c r="E493" s="460"/>
      <c r="F493" s="460"/>
      <c r="G493" s="460"/>
      <c r="H493" s="460"/>
      <c r="I493" s="120" t="s">
        <v>157</v>
      </c>
      <c r="J493" s="121">
        <f>J494</f>
        <v>2</v>
      </c>
    </row>
    <row r="494" spans="1:10" x14ac:dyDescent="0.25">
      <c r="A494" s="93"/>
      <c r="C494" s="454" t="s">
        <v>311</v>
      </c>
      <c r="D494" s="454"/>
      <c r="E494" s="454"/>
      <c r="F494" s="454"/>
      <c r="G494" s="454"/>
      <c r="H494" s="454"/>
      <c r="I494" s="37" t="s">
        <v>307</v>
      </c>
      <c r="J494" s="36">
        <v>2</v>
      </c>
    </row>
    <row r="495" spans="1:10" x14ac:dyDescent="0.25">
      <c r="A495" s="93"/>
      <c r="C495" s="460"/>
      <c r="D495" s="460"/>
      <c r="E495" s="460"/>
      <c r="F495" s="460"/>
      <c r="G495" s="460"/>
      <c r="H495" s="460"/>
      <c r="J495" s="36"/>
    </row>
    <row r="496" spans="1:10" s="120" customFormat="1" x14ac:dyDescent="0.25">
      <c r="A496" s="119" t="str">
        <f>'Orçamento '!$A$306</f>
        <v>15.18</v>
      </c>
      <c r="C496" s="460" t="str">
        <f>'Orçamento '!$D$306</f>
        <v>REPOSICIONAR MOBILIÁRIO CONFORME NOVO LAYOUT</v>
      </c>
      <c r="D496" s="460"/>
      <c r="E496" s="460"/>
      <c r="F496" s="460"/>
      <c r="G496" s="460"/>
      <c r="H496" s="460"/>
      <c r="I496" s="120" t="s">
        <v>307</v>
      </c>
      <c r="J496" s="121">
        <f>SUM(J497:J502)</f>
        <v>49</v>
      </c>
    </row>
    <row r="497" spans="1:10" x14ac:dyDescent="0.25">
      <c r="A497" s="93"/>
      <c r="C497" s="454" t="s">
        <v>329</v>
      </c>
      <c r="D497" s="454"/>
      <c r="E497" s="454"/>
      <c r="F497" s="454"/>
      <c r="G497" s="454"/>
      <c r="H497" s="454"/>
      <c r="I497" s="37" t="s">
        <v>307</v>
      </c>
      <c r="J497" s="36">
        <v>12</v>
      </c>
    </row>
    <row r="498" spans="1:10" x14ac:dyDescent="0.25">
      <c r="A498" s="93"/>
      <c r="C498" s="454" t="s">
        <v>334</v>
      </c>
      <c r="D498" s="454"/>
      <c r="E498" s="454"/>
      <c r="F498" s="454"/>
      <c r="G498" s="454"/>
      <c r="H498" s="454"/>
      <c r="I498" s="37" t="s">
        <v>307</v>
      </c>
      <c r="J498" s="36">
        <v>1</v>
      </c>
    </row>
    <row r="499" spans="1:10" x14ac:dyDescent="0.25">
      <c r="A499" s="93"/>
      <c r="C499" s="454" t="s">
        <v>335</v>
      </c>
      <c r="D499" s="454"/>
      <c r="E499" s="454"/>
      <c r="F499" s="454"/>
      <c r="G499" s="454"/>
      <c r="H499" s="454"/>
      <c r="I499" s="37" t="s">
        <v>307</v>
      </c>
      <c r="J499" s="36">
        <v>13</v>
      </c>
    </row>
    <row r="500" spans="1:10" s="120" customFormat="1" x14ac:dyDescent="0.25">
      <c r="A500" s="119"/>
      <c r="C500" s="454" t="s">
        <v>337</v>
      </c>
      <c r="D500" s="454"/>
      <c r="E500" s="454"/>
      <c r="F500" s="454"/>
      <c r="G500" s="454"/>
      <c r="H500" s="454"/>
      <c r="I500" s="37" t="s">
        <v>307</v>
      </c>
      <c r="J500" s="36">
        <v>10</v>
      </c>
    </row>
    <row r="501" spans="1:10" x14ac:dyDescent="0.25">
      <c r="A501" s="93"/>
      <c r="C501" s="454" t="s">
        <v>338</v>
      </c>
      <c r="D501" s="454"/>
      <c r="E501" s="454"/>
      <c r="F501" s="454"/>
      <c r="G501" s="454"/>
      <c r="H501" s="454"/>
      <c r="I501" s="37" t="s">
        <v>307</v>
      </c>
      <c r="J501" s="36">
        <v>4</v>
      </c>
    </row>
    <row r="502" spans="1:10" x14ac:dyDescent="0.25">
      <c r="A502" s="93"/>
      <c r="C502" s="454" t="s">
        <v>339</v>
      </c>
      <c r="D502" s="454"/>
      <c r="E502" s="454"/>
      <c r="F502" s="454"/>
      <c r="G502" s="454"/>
      <c r="H502" s="454"/>
      <c r="I502" s="37" t="s">
        <v>307</v>
      </c>
      <c r="J502" s="36">
        <v>9</v>
      </c>
    </row>
    <row r="503" spans="1:10" x14ac:dyDescent="0.25">
      <c r="A503" s="93"/>
      <c r="C503" s="454"/>
      <c r="D503" s="454"/>
      <c r="E503" s="454"/>
      <c r="F503" s="454"/>
      <c r="G503" s="454"/>
      <c r="H503" s="454"/>
      <c r="J503" s="36"/>
    </row>
    <row r="504" spans="1:10" ht="30.75" customHeight="1" x14ac:dyDescent="0.25">
      <c r="A504" s="119" t="str">
        <f>'Orçamento '!$A$307</f>
        <v>15.19</v>
      </c>
      <c r="B504" s="120"/>
      <c r="C504" s="460" t="str">
        <f>'Orçamento '!$D$307</f>
        <v>REMANEJAMENTO DE MOBILIÁRIOS PARA TROCA DE PISO (VOLTAR PARA POSIÇÃO INICIAL)</v>
      </c>
      <c r="D504" s="460"/>
      <c r="E504" s="460"/>
      <c r="F504" s="460"/>
      <c r="G504" s="460"/>
      <c r="H504" s="460"/>
      <c r="I504" s="120" t="s">
        <v>307</v>
      </c>
      <c r="J504" s="121">
        <f>SUM(J505:J507)</f>
        <v>22</v>
      </c>
    </row>
    <row r="505" spans="1:10" s="120" customFormat="1" x14ac:dyDescent="0.25">
      <c r="A505" s="119"/>
      <c r="C505" s="454" t="s">
        <v>335</v>
      </c>
      <c r="D505" s="454"/>
      <c r="E505" s="454"/>
      <c r="F505" s="454"/>
      <c r="G505" s="454"/>
      <c r="H505" s="454"/>
      <c r="I505" s="37" t="s">
        <v>307</v>
      </c>
      <c r="J505" s="36">
        <v>10</v>
      </c>
    </row>
    <row r="506" spans="1:10" x14ac:dyDescent="0.25">
      <c r="A506" s="93"/>
      <c r="C506" s="454" t="s">
        <v>338</v>
      </c>
      <c r="D506" s="454"/>
      <c r="E506" s="454"/>
      <c r="F506" s="454"/>
      <c r="G506" s="454"/>
      <c r="H506" s="454"/>
      <c r="I506" s="37" t="s">
        <v>307</v>
      </c>
      <c r="J506" s="36">
        <v>6</v>
      </c>
    </row>
    <row r="507" spans="1:10" x14ac:dyDescent="0.25">
      <c r="A507" s="93"/>
      <c r="C507" s="454" t="s">
        <v>340</v>
      </c>
      <c r="D507" s="454"/>
      <c r="E507" s="454"/>
      <c r="F507" s="454"/>
      <c r="G507" s="454"/>
      <c r="H507" s="454"/>
      <c r="I507" s="37" t="s">
        <v>307</v>
      </c>
      <c r="J507" s="36">
        <v>6</v>
      </c>
    </row>
    <row r="508" spans="1:10" x14ac:dyDescent="0.25">
      <c r="A508" s="93"/>
      <c r="C508" s="454"/>
      <c r="D508" s="454"/>
      <c r="E508" s="454"/>
      <c r="F508" s="454"/>
      <c r="G508" s="454"/>
      <c r="H508" s="454"/>
      <c r="J508" s="36"/>
    </row>
    <row r="509" spans="1:10" ht="30.75" customHeight="1" x14ac:dyDescent="0.25">
      <c r="A509" s="119" t="str">
        <f>'Orçamento '!A308</f>
        <v>15.20</v>
      </c>
      <c r="B509" s="120"/>
      <c r="C509" s="460" t="str">
        <f>'Orçamento '!D308</f>
        <v>DESMONTAGEM, TRANSPORTE NO MESMO PAVIMENTO E MONTAGEM DOS ARQUIVOS DESLIZANTES PARA A SALA DO ARQUIVO RH</v>
      </c>
      <c r="D509" s="460"/>
      <c r="E509" s="460"/>
      <c r="F509" s="460"/>
      <c r="G509" s="460"/>
      <c r="H509" s="460"/>
      <c r="I509" s="120" t="s">
        <v>307</v>
      </c>
      <c r="J509" s="121">
        <f>SUM(J510:J510)</f>
        <v>1</v>
      </c>
    </row>
    <row r="510" spans="1:10" s="120" customFormat="1" x14ac:dyDescent="0.25">
      <c r="A510" s="119"/>
      <c r="C510" s="454" t="s">
        <v>814</v>
      </c>
      <c r="D510" s="454"/>
      <c r="E510" s="454"/>
      <c r="F510" s="454"/>
      <c r="G510" s="454"/>
      <c r="H510" s="454"/>
      <c r="I510" s="37" t="s">
        <v>307</v>
      </c>
      <c r="J510" s="36">
        <v>1</v>
      </c>
    </row>
    <row r="511" spans="1:10" x14ac:dyDescent="0.25">
      <c r="A511" s="93"/>
      <c r="C511" s="454"/>
      <c r="D511" s="454"/>
      <c r="E511" s="454"/>
      <c r="F511" s="454"/>
      <c r="G511" s="454"/>
      <c r="H511" s="454"/>
      <c r="J511" s="36"/>
    </row>
    <row r="512" spans="1:10" ht="25.5" customHeight="1" x14ac:dyDescent="0.25">
      <c r="A512" s="119" t="str">
        <f>'Orçamento '!A309</f>
        <v>15.21</v>
      </c>
      <c r="B512" s="120"/>
      <c r="C512" s="464" t="str">
        <f>'Orçamento '!D309</f>
        <v>MANUTENÇÃO DAS ESQUADRIAS NOS PONTOS DE INFILTRAÇÃO</v>
      </c>
      <c r="D512" s="464"/>
      <c r="E512" s="464"/>
      <c r="F512" s="464"/>
      <c r="G512" s="464"/>
      <c r="H512" s="464"/>
      <c r="I512" s="120" t="s">
        <v>307</v>
      </c>
      <c r="J512" s="121">
        <f>SUM(J513:J520)</f>
        <v>11</v>
      </c>
    </row>
    <row r="513" spans="1:10" x14ac:dyDescent="0.25">
      <c r="A513" s="93"/>
      <c r="C513" s="454" t="s">
        <v>816</v>
      </c>
      <c r="D513" s="454"/>
      <c r="E513" s="454"/>
      <c r="F513" s="454"/>
      <c r="G513" s="454"/>
      <c r="H513" s="454"/>
      <c r="I513" s="37">
        <v>1</v>
      </c>
      <c r="J513" s="36">
        <f>I513</f>
        <v>1</v>
      </c>
    </row>
    <row r="514" spans="1:10" x14ac:dyDescent="0.25">
      <c r="A514" s="93"/>
      <c r="C514" s="454" t="s">
        <v>817</v>
      </c>
      <c r="D514" s="454"/>
      <c r="E514" s="454"/>
      <c r="F514" s="454"/>
      <c r="G514" s="454"/>
      <c r="H514" s="454"/>
      <c r="I514" s="37">
        <v>1</v>
      </c>
      <c r="J514" s="36">
        <f t="shared" ref="J514:J520" si="1">I514</f>
        <v>1</v>
      </c>
    </row>
    <row r="515" spans="1:10" x14ac:dyDescent="0.25">
      <c r="A515" s="93"/>
      <c r="C515" s="454" t="s">
        <v>819</v>
      </c>
      <c r="D515" s="454"/>
      <c r="E515" s="454"/>
      <c r="F515" s="454"/>
      <c r="G515" s="454"/>
      <c r="H515" s="454"/>
      <c r="I515" s="37">
        <v>2</v>
      </c>
      <c r="J515" s="36">
        <f t="shared" si="1"/>
        <v>2</v>
      </c>
    </row>
    <row r="516" spans="1:10" x14ac:dyDescent="0.25">
      <c r="A516" s="93"/>
      <c r="C516" s="454" t="s">
        <v>820</v>
      </c>
      <c r="D516" s="454"/>
      <c r="E516" s="454"/>
      <c r="F516" s="454"/>
      <c r="G516" s="454"/>
      <c r="H516" s="454"/>
      <c r="I516" s="37">
        <v>1</v>
      </c>
      <c r="J516" s="36">
        <f t="shared" si="1"/>
        <v>1</v>
      </c>
    </row>
    <row r="517" spans="1:10" x14ac:dyDescent="0.25">
      <c r="A517" s="93"/>
      <c r="C517" s="454" t="s">
        <v>822</v>
      </c>
      <c r="D517" s="454"/>
      <c r="E517" s="454"/>
      <c r="F517" s="454"/>
      <c r="G517" s="454"/>
      <c r="H517" s="454"/>
      <c r="I517" s="37">
        <v>1</v>
      </c>
      <c r="J517" s="36">
        <f t="shared" si="1"/>
        <v>1</v>
      </c>
    </row>
    <row r="518" spans="1:10" x14ac:dyDescent="0.25">
      <c r="A518" s="93"/>
      <c r="C518" s="454" t="s">
        <v>826</v>
      </c>
      <c r="D518" s="454"/>
      <c r="E518" s="454"/>
      <c r="F518" s="454"/>
      <c r="G518" s="454"/>
      <c r="H518" s="454"/>
      <c r="I518" s="37">
        <v>1</v>
      </c>
      <c r="J518" s="36">
        <f t="shared" si="1"/>
        <v>1</v>
      </c>
    </row>
    <row r="519" spans="1:10" x14ac:dyDescent="0.25">
      <c r="A519" s="93"/>
      <c r="C519" s="454" t="s">
        <v>827</v>
      </c>
      <c r="D519" s="454"/>
      <c r="E519" s="454"/>
      <c r="F519" s="454"/>
      <c r="G519" s="454"/>
      <c r="H519" s="454"/>
      <c r="I519" s="37">
        <v>1</v>
      </c>
      <c r="J519" s="36">
        <f t="shared" si="1"/>
        <v>1</v>
      </c>
    </row>
    <row r="520" spans="1:10" x14ac:dyDescent="0.25">
      <c r="A520" s="93"/>
      <c r="C520" s="454" t="s">
        <v>828</v>
      </c>
      <c r="D520" s="454"/>
      <c r="E520" s="454"/>
      <c r="F520" s="454"/>
      <c r="G520" s="454"/>
      <c r="H520" s="454"/>
      <c r="I520" s="37">
        <v>3</v>
      </c>
      <c r="J520" s="36">
        <f t="shared" si="1"/>
        <v>3</v>
      </c>
    </row>
    <row r="521" spans="1:10" ht="15.75" thickBot="1" x14ac:dyDescent="0.3">
      <c r="A521" s="93"/>
      <c r="C521" s="454"/>
      <c r="D521" s="454"/>
      <c r="E521" s="454"/>
      <c r="F521" s="454"/>
      <c r="G521" s="454"/>
      <c r="H521" s="454"/>
      <c r="J521" s="36"/>
    </row>
    <row r="522" spans="1:10" s="120" customFormat="1" ht="15.75" thickBot="1" x14ac:dyDescent="0.3">
      <c r="A522" s="122">
        <v>16</v>
      </c>
      <c r="B522" s="123"/>
      <c r="C522" s="461" t="str">
        <f>'Orçamento '!D311</f>
        <v>MANUTENÇÕES HIDROSSANITÁRIAS E COBERTURA</v>
      </c>
      <c r="D522" s="461"/>
      <c r="E522" s="461"/>
      <c r="F522" s="461"/>
      <c r="G522" s="461"/>
      <c r="H522" s="461"/>
      <c r="I522" s="123"/>
      <c r="J522" s="124"/>
    </row>
    <row r="523" spans="1:10" x14ac:dyDescent="0.25">
      <c r="A523" s="125" t="str">
        <f>'Orçamento '!A312</f>
        <v>16.1</v>
      </c>
      <c r="B523" s="126"/>
      <c r="C523" s="462" t="str">
        <f>'Orçamento '!D312</f>
        <v>TAMPONAMENTO E ISOLAMENTO DE TUBULAÇÕES HIDROSSANITÁRIAS INUTILIZADAS</v>
      </c>
      <c r="D523" s="462"/>
      <c r="E523" s="462"/>
      <c r="F523" s="462"/>
      <c r="G523" s="462"/>
      <c r="H523" s="462"/>
      <c r="I523" s="120" t="s">
        <v>307</v>
      </c>
      <c r="J523" s="121">
        <f>SUM(J524:J532)</f>
        <v>23</v>
      </c>
    </row>
    <row r="524" spans="1:10" x14ac:dyDescent="0.25">
      <c r="A524" s="93"/>
      <c r="C524" s="454" t="s">
        <v>818</v>
      </c>
      <c r="D524" s="454"/>
      <c r="E524" s="454"/>
      <c r="F524" s="454"/>
      <c r="G524" s="454"/>
      <c r="H524" s="454"/>
      <c r="I524" s="37">
        <v>2</v>
      </c>
      <c r="J524" s="36">
        <f t="shared" ref="J524:J532" si="2">I524</f>
        <v>2</v>
      </c>
    </row>
    <row r="525" spans="1:10" x14ac:dyDescent="0.25">
      <c r="A525" s="93"/>
      <c r="C525" s="454" t="s">
        <v>819</v>
      </c>
      <c r="D525" s="454"/>
      <c r="E525" s="454"/>
      <c r="F525" s="454"/>
      <c r="G525" s="454"/>
      <c r="H525" s="454"/>
      <c r="I525" s="37">
        <v>1</v>
      </c>
      <c r="J525" s="36">
        <f t="shared" si="2"/>
        <v>1</v>
      </c>
    </row>
    <row r="526" spans="1:10" x14ac:dyDescent="0.25">
      <c r="A526" s="93"/>
      <c r="C526" s="454" t="s">
        <v>820</v>
      </c>
      <c r="D526" s="454"/>
      <c r="E526" s="454"/>
      <c r="F526" s="454"/>
      <c r="G526" s="454"/>
      <c r="H526" s="454"/>
      <c r="I526" s="37">
        <v>1</v>
      </c>
      <c r="J526" s="36">
        <f t="shared" si="2"/>
        <v>1</v>
      </c>
    </row>
    <row r="527" spans="1:10" x14ac:dyDescent="0.25">
      <c r="A527" s="93"/>
      <c r="C527" s="454" t="s">
        <v>821</v>
      </c>
      <c r="D527" s="454"/>
      <c r="E527" s="454"/>
      <c r="F527" s="454"/>
      <c r="G527" s="454"/>
      <c r="H527" s="454"/>
      <c r="I527" s="37">
        <v>2</v>
      </c>
      <c r="J527" s="36">
        <f t="shared" si="2"/>
        <v>2</v>
      </c>
    </row>
    <row r="528" spans="1:10" x14ac:dyDescent="0.25">
      <c r="A528" s="93"/>
      <c r="C528" s="454" t="s">
        <v>823</v>
      </c>
      <c r="D528" s="454"/>
      <c r="E528" s="454"/>
      <c r="F528" s="454"/>
      <c r="G528" s="454"/>
      <c r="H528" s="454"/>
      <c r="I528" s="37">
        <v>3</v>
      </c>
      <c r="J528" s="36">
        <f t="shared" si="2"/>
        <v>3</v>
      </c>
    </row>
    <row r="529" spans="1:10" x14ac:dyDescent="0.25">
      <c r="A529" s="93"/>
      <c r="C529" s="454" t="s">
        <v>824</v>
      </c>
      <c r="D529" s="454"/>
      <c r="E529" s="454"/>
      <c r="F529" s="454"/>
      <c r="G529" s="454"/>
      <c r="H529" s="454"/>
      <c r="I529" s="37">
        <v>2</v>
      </c>
      <c r="J529" s="36">
        <f t="shared" si="2"/>
        <v>2</v>
      </c>
    </row>
    <row r="530" spans="1:10" x14ac:dyDescent="0.25">
      <c r="A530" s="93"/>
      <c r="C530" s="454" t="s">
        <v>825</v>
      </c>
      <c r="D530" s="454"/>
      <c r="E530" s="454"/>
      <c r="F530" s="454"/>
      <c r="G530" s="454"/>
      <c r="H530" s="454"/>
      <c r="I530" s="37">
        <v>2</v>
      </c>
      <c r="J530" s="36">
        <f t="shared" si="2"/>
        <v>2</v>
      </c>
    </row>
    <row r="531" spans="1:10" x14ac:dyDescent="0.25">
      <c r="A531" s="93"/>
      <c r="C531" s="454" t="s">
        <v>826</v>
      </c>
      <c r="D531" s="454"/>
      <c r="E531" s="454"/>
      <c r="F531" s="454"/>
      <c r="G531" s="454"/>
      <c r="H531" s="454"/>
      <c r="I531" s="37">
        <v>3</v>
      </c>
      <c r="J531" s="36">
        <f t="shared" si="2"/>
        <v>3</v>
      </c>
    </row>
    <row r="532" spans="1:10" x14ac:dyDescent="0.25">
      <c r="A532" s="93"/>
      <c r="C532" s="454" t="s">
        <v>827</v>
      </c>
      <c r="D532" s="454"/>
      <c r="E532" s="454"/>
      <c r="F532" s="454"/>
      <c r="G532" s="454"/>
      <c r="H532" s="454"/>
      <c r="I532" s="37">
        <v>7</v>
      </c>
      <c r="J532" s="36">
        <f t="shared" si="2"/>
        <v>7</v>
      </c>
    </row>
    <row r="533" spans="1:10" x14ac:dyDescent="0.25">
      <c r="A533" s="93"/>
      <c r="C533" s="454"/>
      <c r="D533" s="454"/>
      <c r="E533" s="454"/>
      <c r="F533" s="454"/>
      <c r="G533" s="454"/>
      <c r="H533" s="454"/>
      <c r="J533" s="36"/>
    </row>
    <row r="534" spans="1:10" x14ac:dyDescent="0.25">
      <c r="A534" s="125" t="str">
        <f>'Orçamento '!A313</f>
        <v>16.2</v>
      </c>
      <c r="B534" s="126"/>
      <c r="C534" s="460" t="str">
        <f>'Orçamento '!D313</f>
        <v>INSPENÇÃO E MANUTENÇÃO DOS SHAFTS PARA DETECÇÃO E REPAROS SIMPLES DE POSSÍVEL VAZAMENTOS</v>
      </c>
      <c r="D534" s="460"/>
      <c r="E534" s="460"/>
      <c r="F534" s="460"/>
      <c r="G534" s="460"/>
      <c r="H534" s="460"/>
      <c r="I534" s="120" t="s">
        <v>307</v>
      </c>
      <c r="J534" s="121">
        <f>J535</f>
        <v>4</v>
      </c>
    </row>
    <row r="535" spans="1:10" x14ac:dyDescent="0.25">
      <c r="A535" s="93"/>
      <c r="C535" s="454" t="s">
        <v>337</v>
      </c>
      <c r="D535" s="454"/>
      <c r="E535" s="454"/>
      <c r="F535" s="454"/>
      <c r="G535" s="454"/>
      <c r="H535" s="454"/>
      <c r="I535" s="37" t="s">
        <v>307</v>
      </c>
      <c r="J535" s="36">
        <v>4</v>
      </c>
    </row>
    <row r="536" spans="1:10" x14ac:dyDescent="0.25">
      <c r="A536" s="93"/>
      <c r="C536" s="454"/>
      <c r="D536" s="454"/>
      <c r="E536" s="454"/>
      <c r="F536" s="454"/>
      <c r="G536" s="454"/>
      <c r="H536" s="454"/>
      <c r="J536" s="36"/>
    </row>
    <row r="537" spans="1:10" x14ac:dyDescent="0.25">
      <c r="A537" s="125" t="str">
        <f>'Orçamento '!A314</f>
        <v>16.3</v>
      </c>
      <c r="B537" s="126"/>
      <c r="C537" s="460" t="str">
        <f>'Orçamento '!D314</f>
        <v>MANUTENÇÃO DO TELHADO EXISTENTE</v>
      </c>
      <c r="D537" s="460"/>
      <c r="E537" s="460"/>
      <c r="F537" s="460"/>
      <c r="G537" s="460"/>
      <c r="H537" s="460"/>
      <c r="I537" s="120" t="s">
        <v>5</v>
      </c>
      <c r="J537" s="121">
        <f>J538</f>
        <v>110</v>
      </c>
    </row>
    <row r="538" spans="1:10" x14ac:dyDescent="0.25">
      <c r="A538" s="93"/>
      <c r="C538" s="454" t="s">
        <v>813</v>
      </c>
      <c r="D538" s="454"/>
      <c r="E538" s="454"/>
      <c r="F538" s="454"/>
      <c r="G538" s="454"/>
      <c r="H538" s="454"/>
      <c r="I538" s="37" t="s">
        <v>5</v>
      </c>
      <c r="J538" s="36">
        <v>110</v>
      </c>
    </row>
    <row r="539" spans="1:10" ht="15.75" thickBot="1" x14ac:dyDescent="0.3">
      <c r="A539" s="93"/>
      <c r="C539" s="454"/>
      <c r="D539" s="454"/>
      <c r="E539" s="454"/>
      <c r="F539" s="454"/>
      <c r="G539" s="454"/>
      <c r="H539" s="454"/>
      <c r="J539" s="36"/>
    </row>
    <row r="540" spans="1:10" s="120" customFormat="1" ht="15.75" thickBot="1" x14ac:dyDescent="0.3">
      <c r="A540" s="122">
        <v>17</v>
      </c>
      <c r="B540" s="123"/>
      <c r="C540" s="461" t="s">
        <v>79</v>
      </c>
      <c r="D540" s="461"/>
      <c r="E540" s="461"/>
      <c r="F540" s="461"/>
      <c r="G540" s="461"/>
      <c r="H540" s="461"/>
      <c r="I540" s="123"/>
      <c r="J540" s="124"/>
    </row>
    <row r="541" spans="1:10" x14ac:dyDescent="0.25">
      <c r="A541" s="125" t="str">
        <f>'Orçamento '!A317</f>
        <v>17.1</v>
      </c>
      <c r="B541" s="126"/>
      <c r="C541" s="462" t="s">
        <v>38</v>
      </c>
      <c r="D541" s="462"/>
      <c r="E541" s="462"/>
      <c r="F541" s="462"/>
      <c r="G541" s="462"/>
      <c r="H541" s="462"/>
      <c r="I541" s="120" t="s">
        <v>5</v>
      </c>
      <c r="J541" s="121">
        <f>SUM(J542:J558)</f>
        <v>462.87000000000006</v>
      </c>
    </row>
    <row r="542" spans="1:10" x14ac:dyDescent="0.25">
      <c r="A542" s="93"/>
      <c r="C542" s="454" t="s">
        <v>316</v>
      </c>
      <c r="D542" s="454"/>
      <c r="E542" s="454"/>
      <c r="F542" s="454"/>
      <c r="G542" s="454"/>
      <c r="H542" s="454"/>
      <c r="I542" s="37" t="s">
        <v>5</v>
      </c>
      <c r="J542" s="36">
        <v>7.42</v>
      </c>
    </row>
    <row r="543" spans="1:10" x14ac:dyDescent="0.25">
      <c r="A543" s="93"/>
      <c r="C543" s="454" t="s">
        <v>313</v>
      </c>
      <c r="D543" s="454"/>
      <c r="E543" s="454"/>
      <c r="F543" s="454"/>
      <c r="G543" s="454"/>
      <c r="H543" s="454"/>
      <c r="I543" s="37" t="s">
        <v>5</v>
      </c>
      <c r="J543" s="36">
        <v>48.17</v>
      </c>
    </row>
    <row r="544" spans="1:10" x14ac:dyDescent="0.25">
      <c r="A544" s="93"/>
      <c r="C544" s="454" t="s">
        <v>324</v>
      </c>
      <c r="D544" s="454"/>
      <c r="E544" s="454"/>
      <c r="F544" s="454"/>
      <c r="G544" s="454"/>
      <c r="H544" s="454"/>
      <c r="I544" s="37" t="s">
        <v>5</v>
      </c>
      <c r="J544" s="36">
        <v>9.48</v>
      </c>
    </row>
    <row r="545" spans="1:10" x14ac:dyDescent="0.25">
      <c r="A545" s="93"/>
      <c r="C545" s="454" t="s">
        <v>314</v>
      </c>
      <c r="D545" s="454"/>
      <c r="E545" s="454"/>
      <c r="F545" s="454"/>
      <c r="G545" s="454"/>
      <c r="H545" s="454"/>
      <c r="I545" s="37" t="s">
        <v>5</v>
      </c>
      <c r="J545" s="36">
        <v>82.51</v>
      </c>
    </row>
    <row r="546" spans="1:10" x14ac:dyDescent="0.25">
      <c r="A546" s="93"/>
      <c r="C546" s="454" t="s">
        <v>315</v>
      </c>
      <c r="D546" s="454"/>
      <c r="E546" s="454"/>
      <c r="F546" s="454"/>
      <c r="G546" s="454"/>
      <c r="H546" s="454"/>
      <c r="I546" s="37" t="s">
        <v>5</v>
      </c>
      <c r="J546" s="36">
        <v>10.94</v>
      </c>
    </row>
    <row r="547" spans="1:10" x14ac:dyDescent="0.25">
      <c r="A547" s="93"/>
      <c r="C547" s="454" t="s">
        <v>323</v>
      </c>
      <c r="D547" s="454"/>
      <c r="E547" s="454"/>
      <c r="F547" s="454"/>
      <c r="G547" s="454"/>
      <c r="H547" s="454"/>
      <c r="I547" s="37" t="s">
        <v>5</v>
      </c>
      <c r="J547" s="36">
        <v>11.14</v>
      </c>
    </row>
    <row r="548" spans="1:10" x14ac:dyDescent="0.25">
      <c r="A548" s="93"/>
      <c r="C548" s="454" t="s">
        <v>317</v>
      </c>
      <c r="D548" s="454"/>
      <c r="E548" s="454"/>
      <c r="F548" s="454"/>
      <c r="G548" s="454"/>
      <c r="H548" s="454"/>
      <c r="I548" s="37" t="s">
        <v>5</v>
      </c>
      <c r="J548" s="36">
        <v>25.45</v>
      </c>
    </row>
    <row r="549" spans="1:10" x14ac:dyDescent="0.25">
      <c r="A549" s="93"/>
      <c r="C549" s="454" t="s">
        <v>325</v>
      </c>
      <c r="D549" s="454"/>
      <c r="E549" s="454"/>
      <c r="F549" s="454"/>
      <c r="G549" s="454"/>
      <c r="H549" s="454"/>
      <c r="I549" s="37" t="s">
        <v>5</v>
      </c>
      <c r="J549" s="36">
        <v>10.84</v>
      </c>
    </row>
    <row r="550" spans="1:10" x14ac:dyDescent="0.25">
      <c r="A550" s="93"/>
      <c r="C550" s="454" t="s">
        <v>326</v>
      </c>
      <c r="D550" s="454"/>
      <c r="E550" s="454"/>
      <c r="F550" s="454"/>
      <c r="G550" s="454"/>
      <c r="H550" s="454"/>
      <c r="I550" s="37" t="s">
        <v>5</v>
      </c>
      <c r="J550" s="36">
        <v>71.75</v>
      </c>
    </row>
    <row r="551" spans="1:10" x14ac:dyDescent="0.25">
      <c r="A551" s="93"/>
      <c r="C551" s="454" t="s">
        <v>327</v>
      </c>
      <c r="D551" s="454"/>
      <c r="E551" s="454"/>
      <c r="F551" s="454"/>
      <c r="G551" s="454"/>
      <c r="H551" s="454"/>
      <c r="I551" s="37" t="s">
        <v>5</v>
      </c>
      <c r="J551" s="36">
        <v>5</v>
      </c>
    </row>
    <row r="552" spans="1:10" x14ac:dyDescent="0.25">
      <c r="A552" s="93"/>
      <c r="C552" s="454" t="s">
        <v>318</v>
      </c>
      <c r="D552" s="454"/>
      <c r="E552" s="454"/>
      <c r="F552" s="454"/>
      <c r="G552" s="454"/>
      <c r="H552" s="454"/>
      <c r="I552" s="37" t="s">
        <v>5</v>
      </c>
      <c r="J552" s="36">
        <v>16.73</v>
      </c>
    </row>
    <row r="553" spans="1:10" x14ac:dyDescent="0.25">
      <c r="A553" s="93"/>
      <c r="C553" s="454" t="s">
        <v>319</v>
      </c>
      <c r="D553" s="454"/>
      <c r="E553" s="454"/>
      <c r="F553" s="454"/>
      <c r="G553" s="454"/>
      <c r="H553" s="454"/>
      <c r="I553" s="37" t="s">
        <v>5</v>
      </c>
      <c r="J553" s="36">
        <v>8.61</v>
      </c>
    </row>
    <row r="554" spans="1:10" x14ac:dyDescent="0.25">
      <c r="A554" s="93"/>
      <c r="C554" s="454" t="s">
        <v>320</v>
      </c>
      <c r="D554" s="454"/>
      <c r="E554" s="454"/>
      <c r="F554" s="454"/>
      <c r="G554" s="454"/>
      <c r="H554" s="454"/>
      <c r="I554" s="37" t="s">
        <v>5</v>
      </c>
      <c r="J554" s="36">
        <v>27.23</v>
      </c>
    </row>
    <row r="555" spans="1:10" x14ac:dyDescent="0.25">
      <c r="A555" s="93"/>
      <c r="C555" s="454" t="s">
        <v>321</v>
      </c>
      <c r="D555" s="454"/>
      <c r="E555" s="454"/>
      <c r="F555" s="454"/>
      <c r="G555" s="454"/>
      <c r="H555" s="454"/>
      <c r="I555" s="37" t="s">
        <v>5</v>
      </c>
      <c r="J555" s="36">
        <v>9.8800000000000008</v>
      </c>
    </row>
    <row r="556" spans="1:10" x14ac:dyDescent="0.25">
      <c r="A556" s="93"/>
      <c r="C556" s="454" t="s">
        <v>322</v>
      </c>
      <c r="D556" s="454"/>
      <c r="E556" s="454"/>
      <c r="F556" s="454"/>
      <c r="G556" s="454"/>
      <c r="H556" s="454"/>
      <c r="I556" s="37" t="s">
        <v>5</v>
      </c>
      <c r="J556" s="36">
        <v>28.39</v>
      </c>
    </row>
    <row r="557" spans="1:10" x14ac:dyDescent="0.25">
      <c r="A557" s="93"/>
      <c r="C557" s="454" t="s">
        <v>343</v>
      </c>
      <c r="D557" s="454"/>
      <c r="E557" s="454"/>
      <c r="F557" s="454"/>
      <c r="G557" s="454"/>
      <c r="H557" s="454"/>
      <c r="I557" s="37" t="s">
        <v>5</v>
      </c>
      <c r="J557" s="36">
        <v>9.69</v>
      </c>
    </row>
    <row r="558" spans="1:10" x14ac:dyDescent="0.25">
      <c r="A558" s="93"/>
      <c r="C558" s="454" t="s">
        <v>356</v>
      </c>
      <c r="D558" s="454"/>
      <c r="E558" s="454"/>
      <c r="F558" s="454"/>
      <c r="G558" s="454"/>
      <c r="H558" s="454"/>
      <c r="I558" s="37" t="s">
        <v>5</v>
      </c>
      <c r="J558" s="36">
        <v>79.64</v>
      </c>
    </row>
    <row r="559" spans="1:10" x14ac:dyDescent="0.25">
      <c r="A559" s="93"/>
      <c r="C559" s="454"/>
      <c r="D559" s="454"/>
      <c r="E559" s="454"/>
      <c r="F559" s="454"/>
      <c r="G559" s="454"/>
      <c r="H559" s="454"/>
      <c r="J559" s="36"/>
    </row>
    <row r="560" spans="1:10" x14ac:dyDescent="0.25">
      <c r="A560" s="125" t="str">
        <f>'Orçamento '!A318</f>
        <v>17.2</v>
      </c>
      <c r="B560" s="126"/>
      <c r="C560" s="460" t="s">
        <v>33</v>
      </c>
      <c r="D560" s="460"/>
      <c r="E560" s="460"/>
      <c r="F560" s="460"/>
      <c r="G560" s="460"/>
      <c r="H560" s="460"/>
      <c r="I560" s="120" t="s">
        <v>31</v>
      </c>
      <c r="J560" s="121">
        <f>J561</f>
        <v>75</v>
      </c>
    </row>
    <row r="561" spans="1:10" x14ac:dyDescent="0.25">
      <c r="A561" s="93"/>
      <c r="C561" s="454" t="s">
        <v>312</v>
      </c>
      <c r="D561" s="454"/>
      <c r="E561" s="454"/>
      <c r="F561" s="454"/>
      <c r="G561" s="454"/>
      <c r="H561" s="454"/>
      <c r="I561" s="37" t="s">
        <v>31</v>
      </c>
      <c r="J561" s="36">
        <f>15*5</f>
        <v>75</v>
      </c>
    </row>
    <row r="562" spans="1:10" x14ac:dyDescent="0.25">
      <c r="A562" s="93"/>
      <c r="C562" s="454"/>
      <c r="D562" s="454"/>
      <c r="E562" s="454"/>
      <c r="F562" s="454"/>
      <c r="G562" s="454"/>
      <c r="H562" s="454"/>
      <c r="J562" s="36"/>
    </row>
    <row r="563" spans="1:10" x14ac:dyDescent="0.25">
      <c r="A563" s="125" t="str">
        <f>'Orçamento '!A319</f>
        <v>17.3</v>
      </c>
      <c r="B563" s="126"/>
      <c r="C563" s="460" t="s">
        <v>99</v>
      </c>
      <c r="D563" s="460"/>
      <c r="E563" s="460"/>
      <c r="F563" s="460"/>
      <c r="G563" s="460"/>
      <c r="H563" s="460"/>
      <c r="I563" s="120" t="s">
        <v>31</v>
      </c>
      <c r="J563" s="121">
        <f>J564</f>
        <v>75</v>
      </c>
    </row>
    <row r="564" spans="1:10" x14ac:dyDescent="0.25">
      <c r="A564" s="93"/>
      <c r="C564" s="454" t="s">
        <v>652</v>
      </c>
      <c r="D564" s="454"/>
      <c r="E564" s="454"/>
      <c r="F564" s="454"/>
      <c r="G564" s="454"/>
      <c r="H564" s="454"/>
      <c r="I564" s="37" t="s">
        <v>31</v>
      </c>
      <c r="J564" s="36">
        <f>15*5</f>
        <v>75</v>
      </c>
    </row>
    <row r="565" spans="1:10" x14ac:dyDescent="0.25">
      <c r="A565" s="93"/>
      <c r="C565" s="454"/>
      <c r="D565" s="454"/>
      <c r="E565" s="454"/>
      <c r="F565" s="454"/>
      <c r="G565" s="454"/>
      <c r="H565" s="454"/>
      <c r="J565" s="36"/>
    </row>
    <row r="566" spans="1:10" x14ac:dyDescent="0.25">
      <c r="A566" s="125" t="str">
        <f>'Orçamento '!A320</f>
        <v>17.4</v>
      </c>
      <c r="B566" s="126"/>
      <c r="C566" s="460" t="s">
        <v>35</v>
      </c>
      <c r="D566" s="460"/>
      <c r="E566" s="460"/>
      <c r="F566" s="460"/>
      <c r="G566" s="460"/>
      <c r="H566" s="460"/>
      <c r="I566" s="120" t="s">
        <v>5</v>
      </c>
      <c r="J566" s="121">
        <f>SUM(J567:J583)</f>
        <v>462.87000000000006</v>
      </c>
    </row>
    <row r="567" spans="1:10" x14ac:dyDescent="0.25">
      <c r="A567" s="93"/>
      <c r="C567" s="454" t="s">
        <v>316</v>
      </c>
      <c r="D567" s="454"/>
      <c r="E567" s="454"/>
      <c r="F567" s="454"/>
      <c r="G567" s="454"/>
      <c r="H567" s="454"/>
      <c r="I567" s="37" t="s">
        <v>5</v>
      </c>
      <c r="J567" s="36">
        <v>7.42</v>
      </c>
    </row>
    <row r="568" spans="1:10" x14ac:dyDescent="0.25">
      <c r="A568" s="93"/>
      <c r="C568" s="454" t="s">
        <v>313</v>
      </c>
      <c r="D568" s="454"/>
      <c r="E568" s="454"/>
      <c r="F568" s="454"/>
      <c r="G568" s="454"/>
      <c r="H568" s="454"/>
      <c r="I568" s="37" t="s">
        <v>5</v>
      </c>
      <c r="J568" s="36">
        <v>48.17</v>
      </c>
    </row>
    <row r="569" spans="1:10" x14ac:dyDescent="0.25">
      <c r="A569" s="93"/>
      <c r="C569" s="454" t="s">
        <v>324</v>
      </c>
      <c r="D569" s="454"/>
      <c r="E569" s="454"/>
      <c r="F569" s="454"/>
      <c r="G569" s="454"/>
      <c r="H569" s="454"/>
      <c r="I569" s="37" t="s">
        <v>5</v>
      </c>
      <c r="J569" s="36">
        <v>9.48</v>
      </c>
    </row>
    <row r="570" spans="1:10" x14ac:dyDescent="0.25">
      <c r="A570" s="93"/>
      <c r="C570" s="454" t="s">
        <v>314</v>
      </c>
      <c r="D570" s="454"/>
      <c r="E570" s="454"/>
      <c r="F570" s="454"/>
      <c r="G570" s="454"/>
      <c r="H570" s="454"/>
      <c r="I570" s="37" t="s">
        <v>5</v>
      </c>
      <c r="J570" s="36">
        <v>82.51</v>
      </c>
    </row>
    <row r="571" spans="1:10" x14ac:dyDescent="0.25">
      <c r="A571" s="93"/>
      <c r="C571" s="454" t="s">
        <v>315</v>
      </c>
      <c r="D571" s="454"/>
      <c r="E571" s="454"/>
      <c r="F571" s="454"/>
      <c r="G571" s="454"/>
      <c r="H571" s="454"/>
      <c r="I571" s="37" t="s">
        <v>5</v>
      </c>
      <c r="J571" s="36">
        <v>10.94</v>
      </c>
    </row>
    <row r="572" spans="1:10" x14ac:dyDescent="0.25">
      <c r="A572" s="93"/>
      <c r="C572" s="454" t="s">
        <v>323</v>
      </c>
      <c r="D572" s="454"/>
      <c r="E572" s="454"/>
      <c r="F572" s="454"/>
      <c r="G572" s="454"/>
      <c r="H572" s="454"/>
      <c r="I572" s="37" t="s">
        <v>5</v>
      </c>
      <c r="J572" s="36">
        <v>11.14</v>
      </c>
    </row>
    <row r="573" spans="1:10" x14ac:dyDescent="0.25">
      <c r="A573" s="93"/>
      <c r="C573" s="454" t="s">
        <v>317</v>
      </c>
      <c r="D573" s="454"/>
      <c r="E573" s="454"/>
      <c r="F573" s="454"/>
      <c r="G573" s="454"/>
      <c r="H573" s="454"/>
      <c r="I573" s="37" t="s">
        <v>5</v>
      </c>
      <c r="J573" s="36">
        <v>25.45</v>
      </c>
    </row>
    <row r="574" spans="1:10" x14ac:dyDescent="0.25">
      <c r="A574" s="93"/>
      <c r="C574" s="454" t="s">
        <v>325</v>
      </c>
      <c r="D574" s="454"/>
      <c r="E574" s="454"/>
      <c r="F574" s="454"/>
      <c r="G574" s="454"/>
      <c r="H574" s="454"/>
      <c r="I574" s="37" t="s">
        <v>5</v>
      </c>
      <c r="J574" s="36">
        <v>10.84</v>
      </c>
    </row>
    <row r="575" spans="1:10" x14ac:dyDescent="0.25">
      <c r="A575" s="93"/>
      <c r="C575" s="454" t="s">
        <v>326</v>
      </c>
      <c r="D575" s="454"/>
      <c r="E575" s="454"/>
      <c r="F575" s="454"/>
      <c r="G575" s="454"/>
      <c r="H575" s="454"/>
      <c r="I575" s="37" t="s">
        <v>5</v>
      </c>
      <c r="J575" s="36">
        <v>71.75</v>
      </c>
    </row>
    <row r="576" spans="1:10" x14ac:dyDescent="0.25">
      <c r="A576" s="93"/>
      <c r="C576" s="454" t="s">
        <v>327</v>
      </c>
      <c r="D576" s="454"/>
      <c r="E576" s="454"/>
      <c r="F576" s="454"/>
      <c r="G576" s="454"/>
      <c r="H576" s="454"/>
      <c r="I576" s="37" t="s">
        <v>5</v>
      </c>
      <c r="J576" s="36">
        <v>5</v>
      </c>
    </row>
    <row r="577" spans="1:10" x14ac:dyDescent="0.25">
      <c r="A577" s="93"/>
      <c r="C577" s="454" t="s">
        <v>318</v>
      </c>
      <c r="D577" s="454"/>
      <c r="E577" s="454"/>
      <c r="F577" s="454"/>
      <c r="G577" s="454"/>
      <c r="H577" s="454"/>
      <c r="I577" s="37" t="s">
        <v>5</v>
      </c>
      <c r="J577" s="36">
        <v>16.73</v>
      </c>
    </row>
    <row r="578" spans="1:10" x14ac:dyDescent="0.25">
      <c r="A578" s="93"/>
      <c r="C578" s="454" t="s">
        <v>319</v>
      </c>
      <c r="D578" s="454"/>
      <c r="E578" s="454"/>
      <c r="F578" s="454"/>
      <c r="G578" s="454"/>
      <c r="H578" s="454"/>
      <c r="I578" s="37" t="s">
        <v>5</v>
      </c>
      <c r="J578" s="36">
        <v>8.61</v>
      </c>
    </row>
    <row r="579" spans="1:10" x14ac:dyDescent="0.25">
      <c r="A579" s="93"/>
      <c r="C579" s="454" t="s">
        <v>320</v>
      </c>
      <c r="D579" s="454"/>
      <c r="E579" s="454"/>
      <c r="F579" s="454"/>
      <c r="G579" s="454"/>
      <c r="H579" s="454"/>
      <c r="I579" s="37" t="s">
        <v>5</v>
      </c>
      <c r="J579" s="36">
        <v>27.23</v>
      </c>
    </row>
    <row r="580" spans="1:10" x14ac:dyDescent="0.25">
      <c r="A580" s="93"/>
      <c r="C580" s="454" t="s">
        <v>321</v>
      </c>
      <c r="D580" s="454"/>
      <c r="E580" s="454"/>
      <c r="F580" s="454"/>
      <c r="G580" s="454"/>
      <c r="H580" s="454"/>
      <c r="I580" s="37" t="s">
        <v>5</v>
      </c>
      <c r="J580" s="36">
        <v>9.8800000000000008</v>
      </c>
    </row>
    <row r="581" spans="1:10" x14ac:dyDescent="0.25">
      <c r="A581" s="93"/>
      <c r="C581" s="454" t="s">
        <v>322</v>
      </c>
      <c r="D581" s="454"/>
      <c r="E581" s="454"/>
      <c r="F581" s="454"/>
      <c r="G581" s="454"/>
      <c r="H581" s="454"/>
      <c r="I581" s="37" t="s">
        <v>5</v>
      </c>
      <c r="J581" s="36">
        <v>28.39</v>
      </c>
    </row>
    <row r="582" spans="1:10" x14ac:dyDescent="0.25">
      <c r="A582" s="93"/>
      <c r="C582" s="454" t="s">
        <v>343</v>
      </c>
      <c r="D582" s="454"/>
      <c r="E582" s="454"/>
      <c r="F582" s="454"/>
      <c r="G582" s="454"/>
      <c r="H582" s="454"/>
      <c r="I582" s="37" t="s">
        <v>5</v>
      </c>
      <c r="J582" s="36">
        <v>9.69</v>
      </c>
    </row>
    <row r="583" spans="1:10" x14ac:dyDescent="0.25">
      <c r="A583" s="93"/>
      <c r="C583" s="454" t="s">
        <v>356</v>
      </c>
      <c r="D583" s="454"/>
      <c r="E583" s="454"/>
      <c r="F583" s="454"/>
      <c r="G583" s="454"/>
      <c r="H583" s="454"/>
      <c r="I583" s="37" t="s">
        <v>5</v>
      </c>
      <c r="J583" s="36">
        <v>79.64</v>
      </c>
    </row>
    <row r="584" spans="1:10" ht="15.75" thickBot="1" x14ac:dyDescent="0.3">
      <c r="A584" s="222"/>
      <c r="B584" s="223"/>
      <c r="C584" s="438"/>
      <c r="D584" s="438"/>
      <c r="E584" s="438"/>
      <c r="F584" s="438"/>
      <c r="G584" s="438"/>
      <c r="H584" s="438"/>
      <c r="I584" s="223"/>
      <c r="J584" s="381"/>
    </row>
    <row r="585" spans="1:10" x14ac:dyDescent="0.25">
      <c r="C585" s="454"/>
      <c r="D585" s="454"/>
      <c r="E585" s="454"/>
      <c r="F585" s="454"/>
      <c r="G585" s="454"/>
      <c r="H585" s="454"/>
    </row>
    <row r="586" spans="1:10" x14ac:dyDescent="0.25">
      <c r="C586" s="454"/>
      <c r="D586" s="454"/>
      <c r="E586" s="454"/>
      <c r="F586" s="454"/>
      <c r="G586" s="454"/>
      <c r="H586" s="454"/>
    </row>
    <row r="587" spans="1:10" x14ac:dyDescent="0.25">
      <c r="C587" s="454"/>
      <c r="D587" s="454"/>
      <c r="E587" s="454"/>
      <c r="F587" s="454"/>
      <c r="G587" s="454"/>
      <c r="H587" s="454"/>
    </row>
    <row r="588" spans="1:10" x14ac:dyDescent="0.25">
      <c r="C588" s="454"/>
      <c r="D588" s="454"/>
      <c r="E588" s="454"/>
      <c r="F588" s="454"/>
      <c r="G588" s="454"/>
      <c r="H588" s="454"/>
    </row>
    <row r="589" spans="1:10" x14ac:dyDescent="0.25">
      <c r="C589" s="454"/>
      <c r="D589" s="454"/>
      <c r="E589" s="454"/>
      <c r="F589" s="454"/>
      <c r="G589" s="454"/>
      <c r="H589" s="454"/>
    </row>
    <row r="590" spans="1:10" x14ac:dyDescent="0.25">
      <c r="C590" s="454"/>
      <c r="D590" s="454"/>
      <c r="E590" s="454"/>
      <c r="F590" s="454"/>
      <c r="G590" s="454"/>
      <c r="H590" s="454"/>
    </row>
    <row r="591" spans="1:10" x14ac:dyDescent="0.25">
      <c r="C591" s="454"/>
      <c r="D591" s="454"/>
      <c r="E591" s="454"/>
      <c r="F591" s="454"/>
      <c r="G591" s="454"/>
      <c r="H591" s="454"/>
    </row>
    <row r="592" spans="1:10" x14ac:dyDescent="0.25">
      <c r="C592" s="454"/>
      <c r="D592" s="454"/>
      <c r="E592" s="454"/>
      <c r="F592" s="454"/>
      <c r="G592" s="454"/>
      <c r="H592" s="454"/>
    </row>
    <row r="593" spans="3:8" x14ac:dyDescent="0.25">
      <c r="C593" s="454"/>
      <c r="D593" s="454"/>
      <c r="E593" s="454"/>
      <c r="F593" s="454"/>
      <c r="G593" s="454"/>
      <c r="H593" s="454"/>
    </row>
    <row r="594" spans="3:8" x14ac:dyDescent="0.25">
      <c r="C594" s="454"/>
      <c r="D594" s="454"/>
      <c r="E594" s="454"/>
      <c r="F594" s="454"/>
      <c r="G594" s="454"/>
      <c r="H594" s="454"/>
    </row>
    <row r="595" spans="3:8" x14ac:dyDescent="0.25">
      <c r="C595" s="454"/>
      <c r="D595" s="454"/>
      <c r="E595" s="454"/>
      <c r="F595" s="454"/>
      <c r="G595" s="454"/>
      <c r="H595" s="454"/>
    </row>
    <row r="596" spans="3:8" x14ac:dyDescent="0.25">
      <c r="C596" s="454"/>
      <c r="D596" s="454"/>
      <c r="E596" s="454"/>
      <c r="F596" s="454"/>
      <c r="G596" s="454"/>
      <c r="H596" s="454"/>
    </row>
    <row r="597" spans="3:8" x14ac:dyDescent="0.25">
      <c r="C597" s="454"/>
      <c r="D597" s="454"/>
      <c r="E597" s="454"/>
      <c r="F597" s="454"/>
      <c r="G597" s="454"/>
      <c r="H597" s="454"/>
    </row>
    <row r="598" spans="3:8" x14ac:dyDescent="0.25">
      <c r="C598" s="454"/>
      <c r="D598" s="454"/>
      <c r="E598" s="454"/>
      <c r="F598" s="454"/>
      <c r="G598" s="454"/>
      <c r="H598" s="454"/>
    </row>
    <row r="599" spans="3:8" x14ac:dyDescent="0.25">
      <c r="C599" s="454"/>
      <c r="D599" s="454"/>
      <c r="E599" s="454"/>
      <c r="F599" s="454"/>
      <c r="G599" s="454"/>
      <c r="H599" s="454"/>
    </row>
    <row r="600" spans="3:8" x14ac:dyDescent="0.25">
      <c r="C600" s="454"/>
      <c r="D600" s="454"/>
      <c r="E600" s="454"/>
      <c r="F600" s="454"/>
      <c r="G600" s="454"/>
      <c r="H600" s="454"/>
    </row>
    <row r="601" spans="3:8" x14ac:dyDescent="0.25">
      <c r="C601" s="454"/>
      <c r="D601" s="454"/>
      <c r="E601" s="454"/>
      <c r="F601" s="454"/>
      <c r="G601" s="454"/>
      <c r="H601" s="454"/>
    </row>
    <row r="602" spans="3:8" x14ac:dyDescent="0.25">
      <c r="C602" s="454"/>
      <c r="D602" s="454"/>
      <c r="E602" s="454"/>
      <c r="F602" s="454"/>
      <c r="G602" s="454"/>
      <c r="H602" s="454"/>
    </row>
    <row r="603" spans="3:8" x14ac:dyDescent="0.25">
      <c r="C603" s="454"/>
      <c r="D603" s="454"/>
      <c r="E603" s="454"/>
      <c r="F603" s="454"/>
      <c r="G603" s="454"/>
      <c r="H603" s="454"/>
    </row>
    <row r="604" spans="3:8" x14ac:dyDescent="0.25">
      <c r="C604" s="454"/>
      <c r="D604" s="454"/>
      <c r="E604" s="454"/>
      <c r="F604" s="454"/>
      <c r="G604" s="454"/>
      <c r="H604" s="454"/>
    </row>
    <row r="605" spans="3:8" x14ac:dyDescent="0.25">
      <c r="C605" s="454"/>
      <c r="D605" s="454"/>
      <c r="E605" s="454"/>
      <c r="F605" s="454"/>
      <c r="G605" s="454"/>
      <c r="H605" s="454"/>
    </row>
    <row r="606" spans="3:8" x14ac:dyDescent="0.25">
      <c r="C606" s="454"/>
      <c r="D606" s="454"/>
      <c r="E606" s="454"/>
      <c r="F606" s="454"/>
      <c r="G606" s="454"/>
      <c r="H606" s="454"/>
    </row>
    <row r="607" spans="3:8" x14ac:dyDescent="0.25">
      <c r="C607" s="454"/>
      <c r="D607" s="454"/>
      <c r="E607" s="454"/>
      <c r="F607" s="454"/>
      <c r="G607" s="454"/>
      <c r="H607" s="454"/>
    </row>
    <row r="608" spans="3:8" x14ac:dyDescent="0.25">
      <c r="C608" s="454"/>
      <c r="D608" s="454"/>
      <c r="E608" s="454"/>
      <c r="F608" s="454"/>
      <c r="G608" s="454"/>
      <c r="H608" s="454"/>
    </row>
    <row r="609" spans="3:8" x14ac:dyDescent="0.25">
      <c r="C609" s="454"/>
      <c r="D609" s="454"/>
      <c r="E609" s="454"/>
      <c r="F609" s="454"/>
      <c r="G609" s="454"/>
      <c r="H609" s="454"/>
    </row>
    <row r="610" spans="3:8" x14ac:dyDescent="0.25">
      <c r="C610" s="454"/>
      <c r="D610" s="454"/>
      <c r="E610" s="454"/>
      <c r="F610" s="454"/>
      <c r="G610" s="454"/>
      <c r="H610" s="454"/>
    </row>
    <row r="611" spans="3:8" x14ac:dyDescent="0.25">
      <c r="C611" s="454"/>
      <c r="D611" s="454"/>
      <c r="E611" s="454"/>
      <c r="F611" s="454"/>
      <c r="G611" s="454"/>
      <c r="H611" s="454"/>
    </row>
    <row r="612" spans="3:8" x14ac:dyDescent="0.25">
      <c r="C612" s="454"/>
      <c r="D612" s="454"/>
      <c r="E612" s="454"/>
      <c r="F612" s="454"/>
      <c r="G612" s="454"/>
      <c r="H612" s="454"/>
    </row>
    <row r="613" spans="3:8" x14ac:dyDescent="0.25">
      <c r="C613" s="454"/>
      <c r="D613" s="454"/>
      <c r="E613" s="454"/>
      <c r="F613" s="454"/>
      <c r="G613" s="454"/>
      <c r="H613" s="454"/>
    </row>
    <row r="614" spans="3:8" x14ac:dyDescent="0.25">
      <c r="C614" s="454"/>
      <c r="D614" s="454"/>
      <c r="E614" s="454"/>
      <c r="F614" s="454"/>
      <c r="G614" s="454"/>
      <c r="H614" s="454"/>
    </row>
    <row r="615" spans="3:8" x14ac:dyDescent="0.25">
      <c r="C615" s="454"/>
      <c r="D615" s="454"/>
      <c r="E615" s="454"/>
      <c r="F615" s="454"/>
      <c r="G615" s="454"/>
      <c r="H615" s="454"/>
    </row>
    <row r="616" spans="3:8" x14ac:dyDescent="0.25">
      <c r="C616" s="454"/>
      <c r="D616" s="454"/>
      <c r="E616" s="454"/>
      <c r="F616" s="454"/>
      <c r="G616" s="454"/>
      <c r="H616" s="454"/>
    </row>
    <row r="617" spans="3:8" x14ac:dyDescent="0.25">
      <c r="C617" s="454"/>
      <c r="D617" s="454"/>
      <c r="E617" s="454"/>
      <c r="F617" s="454"/>
      <c r="G617" s="454"/>
      <c r="H617" s="454"/>
    </row>
    <row r="618" spans="3:8" x14ac:dyDescent="0.25">
      <c r="C618" s="454"/>
      <c r="D618" s="454"/>
      <c r="E618" s="454"/>
      <c r="F618" s="454"/>
      <c r="G618" s="454"/>
      <c r="H618" s="454"/>
    </row>
    <row r="619" spans="3:8" x14ac:dyDescent="0.25">
      <c r="C619" s="454"/>
      <c r="D619" s="454"/>
      <c r="E619" s="454"/>
      <c r="F619" s="454"/>
      <c r="G619" s="454"/>
      <c r="H619" s="454"/>
    </row>
    <row r="620" spans="3:8" x14ac:dyDescent="0.25">
      <c r="C620" s="454"/>
      <c r="D620" s="454"/>
      <c r="E620" s="454"/>
      <c r="F620" s="454"/>
      <c r="G620" s="454"/>
      <c r="H620" s="454"/>
    </row>
    <row r="621" spans="3:8" x14ac:dyDescent="0.25">
      <c r="C621" s="454"/>
      <c r="D621" s="454"/>
      <c r="E621" s="454"/>
      <c r="F621" s="454"/>
      <c r="G621" s="454"/>
      <c r="H621" s="454"/>
    </row>
    <row r="622" spans="3:8" x14ac:dyDescent="0.25">
      <c r="C622" s="454"/>
      <c r="D622" s="454"/>
      <c r="E622" s="454"/>
      <c r="F622" s="454"/>
      <c r="G622" s="454"/>
      <c r="H622" s="454"/>
    </row>
    <row r="623" spans="3:8" x14ac:dyDescent="0.25">
      <c r="C623" s="454"/>
      <c r="D623" s="454"/>
      <c r="E623" s="454"/>
      <c r="F623" s="454"/>
      <c r="G623" s="454"/>
      <c r="H623" s="454"/>
    </row>
    <row r="624" spans="3:8" x14ac:dyDescent="0.25">
      <c r="C624" s="454"/>
      <c r="D624" s="454"/>
      <c r="E624" s="454"/>
      <c r="F624" s="454"/>
      <c r="G624" s="454"/>
      <c r="H624" s="454"/>
    </row>
    <row r="625" spans="3:8" x14ac:dyDescent="0.25">
      <c r="C625" s="454"/>
      <c r="D625" s="454"/>
      <c r="E625" s="454"/>
      <c r="F625" s="454"/>
      <c r="G625" s="454"/>
      <c r="H625" s="454"/>
    </row>
    <row r="626" spans="3:8" x14ac:dyDescent="0.25">
      <c r="C626" s="454"/>
      <c r="D626" s="454"/>
      <c r="E626" s="454"/>
      <c r="F626" s="454"/>
      <c r="G626" s="454"/>
      <c r="H626" s="454"/>
    </row>
    <row r="627" spans="3:8" x14ac:dyDescent="0.25">
      <c r="C627" s="454"/>
      <c r="D627" s="454"/>
      <c r="E627" s="454"/>
      <c r="F627" s="454"/>
      <c r="G627" s="454"/>
      <c r="H627" s="454"/>
    </row>
    <row r="628" spans="3:8" x14ac:dyDescent="0.25">
      <c r="C628" s="454"/>
      <c r="D628" s="454"/>
      <c r="E628" s="454"/>
      <c r="F628" s="454"/>
      <c r="G628" s="454"/>
      <c r="H628" s="454"/>
    </row>
    <row r="629" spans="3:8" x14ac:dyDescent="0.25">
      <c r="C629" s="454"/>
      <c r="D629" s="454"/>
      <c r="E629" s="454"/>
      <c r="F629" s="454"/>
      <c r="G629" s="454"/>
      <c r="H629" s="454"/>
    </row>
    <row r="630" spans="3:8" x14ac:dyDescent="0.25">
      <c r="C630" s="454"/>
      <c r="D630" s="454"/>
      <c r="E630" s="454"/>
      <c r="F630" s="454"/>
      <c r="G630" s="454"/>
      <c r="H630" s="454"/>
    </row>
    <row r="631" spans="3:8" x14ac:dyDescent="0.25">
      <c r="C631" s="454"/>
      <c r="D631" s="454"/>
      <c r="E631" s="454"/>
      <c r="F631" s="454"/>
      <c r="G631" s="454"/>
      <c r="H631" s="454"/>
    </row>
    <row r="632" spans="3:8" x14ac:dyDescent="0.25">
      <c r="C632" s="454"/>
      <c r="D632" s="454"/>
      <c r="E632" s="454"/>
      <c r="F632" s="454"/>
      <c r="G632" s="454"/>
      <c r="H632" s="454"/>
    </row>
    <row r="633" spans="3:8" x14ac:dyDescent="0.25">
      <c r="C633" s="454"/>
      <c r="D633" s="454"/>
      <c r="E633" s="454"/>
      <c r="F633" s="454"/>
      <c r="G633" s="454"/>
      <c r="H633" s="454"/>
    </row>
    <row r="634" spans="3:8" x14ac:dyDescent="0.25">
      <c r="C634" s="454"/>
      <c r="D634" s="454"/>
      <c r="E634" s="454"/>
      <c r="F634" s="454"/>
      <c r="G634" s="454"/>
      <c r="H634" s="454"/>
    </row>
    <row r="635" spans="3:8" x14ac:dyDescent="0.25">
      <c r="C635" s="454"/>
      <c r="D635" s="454"/>
      <c r="E635" s="454"/>
      <c r="F635" s="454"/>
      <c r="G635" s="454"/>
      <c r="H635" s="454"/>
    </row>
    <row r="636" spans="3:8" x14ac:dyDescent="0.25">
      <c r="C636" s="454"/>
      <c r="D636" s="454"/>
      <c r="E636" s="454"/>
      <c r="F636" s="454"/>
      <c r="G636" s="454"/>
      <c r="H636" s="454"/>
    </row>
    <row r="637" spans="3:8" x14ac:dyDescent="0.25">
      <c r="C637" s="454"/>
      <c r="D637" s="454"/>
      <c r="E637" s="454"/>
      <c r="F637" s="454"/>
      <c r="G637" s="454"/>
      <c r="H637" s="454"/>
    </row>
    <row r="638" spans="3:8" x14ac:dyDescent="0.25">
      <c r="C638" s="454"/>
      <c r="D638" s="454"/>
      <c r="E638" s="454"/>
      <c r="F638" s="454"/>
      <c r="G638" s="454"/>
      <c r="H638" s="454"/>
    </row>
    <row r="639" spans="3:8" x14ac:dyDescent="0.25">
      <c r="C639" s="454"/>
      <c r="D639" s="454"/>
      <c r="E639" s="454"/>
      <c r="F639" s="454"/>
      <c r="G639" s="454"/>
      <c r="H639" s="454"/>
    </row>
    <row r="640" spans="3:8" x14ac:dyDescent="0.25">
      <c r="C640" s="454"/>
      <c r="D640" s="454"/>
      <c r="E640" s="454"/>
      <c r="F640" s="454"/>
      <c r="G640" s="454"/>
      <c r="H640" s="454"/>
    </row>
    <row r="641" spans="3:8" x14ac:dyDescent="0.25">
      <c r="C641" s="454"/>
      <c r="D641" s="454"/>
      <c r="E641" s="454"/>
      <c r="F641" s="454"/>
      <c r="G641" s="454"/>
      <c r="H641" s="454"/>
    </row>
    <row r="642" spans="3:8" x14ac:dyDescent="0.25">
      <c r="C642" s="454"/>
      <c r="D642" s="454"/>
      <c r="E642" s="454"/>
      <c r="F642" s="454"/>
      <c r="G642" s="454"/>
      <c r="H642" s="454"/>
    </row>
    <row r="643" spans="3:8" x14ac:dyDescent="0.25">
      <c r="C643" s="454"/>
      <c r="D643" s="454"/>
      <c r="E643" s="454"/>
      <c r="F643" s="454"/>
      <c r="G643" s="454"/>
      <c r="H643" s="454"/>
    </row>
    <row r="644" spans="3:8" x14ac:dyDescent="0.25">
      <c r="C644" s="454"/>
      <c r="D644" s="454"/>
      <c r="E644" s="454"/>
      <c r="F644" s="454"/>
      <c r="G644" s="454"/>
      <c r="H644" s="454"/>
    </row>
    <row r="645" spans="3:8" x14ac:dyDescent="0.25">
      <c r="C645" s="454"/>
      <c r="D645" s="454"/>
      <c r="E645" s="454"/>
      <c r="F645" s="454"/>
      <c r="G645" s="454"/>
      <c r="H645" s="454"/>
    </row>
    <row r="646" spans="3:8" x14ac:dyDescent="0.25">
      <c r="C646" s="454"/>
      <c r="D646" s="454"/>
      <c r="E646" s="454"/>
      <c r="F646" s="454"/>
      <c r="G646" s="454"/>
      <c r="H646" s="454"/>
    </row>
    <row r="647" spans="3:8" x14ac:dyDescent="0.25">
      <c r="C647" s="454"/>
      <c r="D647" s="454"/>
      <c r="E647" s="454"/>
      <c r="F647" s="454"/>
      <c r="G647" s="454"/>
      <c r="H647" s="454"/>
    </row>
    <row r="648" spans="3:8" x14ac:dyDescent="0.25">
      <c r="C648" s="454"/>
      <c r="D648" s="454"/>
      <c r="E648" s="454"/>
      <c r="F648" s="454"/>
      <c r="G648" s="454"/>
      <c r="H648" s="454"/>
    </row>
    <row r="649" spans="3:8" x14ac:dyDescent="0.25">
      <c r="C649" s="454"/>
      <c r="D649" s="454"/>
      <c r="E649" s="454"/>
      <c r="F649" s="454"/>
      <c r="G649" s="454"/>
      <c r="H649" s="454"/>
    </row>
    <row r="650" spans="3:8" x14ac:dyDescent="0.25">
      <c r="C650" s="454"/>
      <c r="D650" s="454"/>
      <c r="E650" s="454"/>
      <c r="F650" s="454"/>
      <c r="G650" s="454"/>
      <c r="H650" s="454"/>
    </row>
    <row r="651" spans="3:8" x14ac:dyDescent="0.25">
      <c r="C651" s="454"/>
      <c r="D651" s="454"/>
      <c r="E651" s="454"/>
      <c r="F651" s="454"/>
      <c r="G651" s="454"/>
      <c r="H651" s="454"/>
    </row>
    <row r="652" spans="3:8" x14ac:dyDescent="0.25">
      <c r="C652" s="454"/>
      <c r="D652" s="454"/>
      <c r="E652" s="454"/>
      <c r="F652" s="454"/>
      <c r="G652" s="454"/>
      <c r="H652" s="454"/>
    </row>
    <row r="653" spans="3:8" x14ac:dyDescent="0.25">
      <c r="C653" s="454"/>
      <c r="D653" s="454"/>
      <c r="E653" s="454"/>
      <c r="F653" s="454"/>
      <c r="G653" s="454"/>
      <c r="H653" s="454"/>
    </row>
    <row r="654" spans="3:8" x14ac:dyDescent="0.25">
      <c r="C654" s="454"/>
      <c r="D654" s="454"/>
      <c r="E654" s="454"/>
      <c r="F654" s="454"/>
      <c r="G654" s="454"/>
      <c r="H654" s="454"/>
    </row>
    <row r="655" spans="3:8" x14ac:dyDescent="0.25">
      <c r="C655" s="454"/>
      <c r="D655" s="454"/>
      <c r="E655" s="454"/>
      <c r="F655" s="454"/>
      <c r="G655" s="454"/>
      <c r="H655" s="454"/>
    </row>
    <row r="656" spans="3:8" x14ac:dyDescent="0.25">
      <c r="C656" s="454"/>
      <c r="D656" s="454"/>
      <c r="E656" s="454"/>
      <c r="F656" s="454"/>
      <c r="G656" s="454"/>
      <c r="H656" s="454"/>
    </row>
    <row r="657" spans="3:8" x14ac:dyDescent="0.25">
      <c r="C657" s="454"/>
      <c r="D657" s="454"/>
      <c r="E657" s="454"/>
      <c r="F657" s="454"/>
      <c r="G657" s="454"/>
      <c r="H657" s="454"/>
    </row>
    <row r="658" spans="3:8" x14ac:dyDescent="0.25">
      <c r="C658" s="454"/>
      <c r="D658" s="454"/>
      <c r="E658" s="454"/>
      <c r="F658" s="454"/>
      <c r="G658" s="454"/>
      <c r="H658" s="454"/>
    </row>
    <row r="659" spans="3:8" x14ac:dyDescent="0.25">
      <c r="C659" s="454"/>
      <c r="D659" s="454"/>
      <c r="E659" s="454"/>
      <c r="F659" s="454"/>
      <c r="G659" s="454"/>
      <c r="H659" s="454"/>
    </row>
    <row r="660" spans="3:8" x14ac:dyDescent="0.25">
      <c r="C660" s="454"/>
      <c r="D660" s="454"/>
      <c r="E660" s="454"/>
      <c r="F660" s="454"/>
      <c r="G660" s="454"/>
      <c r="H660" s="454"/>
    </row>
    <row r="661" spans="3:8" x14ac:dyDescent="0.25">
      <c r="C661" s="454"/>
      <c r="D661" s="454"/>
      <c r="E661" s="454"/>
      <c r="F661" s="454"/>
      <c r="G661" s="454"/>
      <c r="H661" s="454"/>
    </row>
    <row r="662" spans="3:8" x14ac:dyDescent="0.25">
      <c r="C662" s="454"/>
      <c r="D662" s="454"/>
      <c r="E662" s="454"/>
      <c r="F662" s="454"/>
      <c r="G662" s="454"/>
      <c r="H662" s="454"/>
    </row>
    <row r="663" spans="3:8" x14ac:dyDescent="0.25">
      <c r="C663" s="454"/>
      <c r="D663" s="454"/>
      <c r="E663" s="454"/>
      <c r="F663" s="454"/>
      <c r="G663" s="454"/>
      <c r="H663" s="454"/>
    </row>
    <row r="664" spans="3:8" x14ac:dyDescent="0.25">
      <c r="C664" s="454"/>
      <c r="D664" s="454"/>
      <c r="E664" s="454"/>
      <c r="F664" s="454"/>
      <c r="G664" s="454"/>
      <c r="H664" s="454"/>
    </row>
    <row r="665" spans="3:8" x14ac:dyDescent="0.25">
      <c r="C665" s="454"/>
      <c r="D665" s="454"/>
      <c r="E665" s="454"/>
      <c r="F665" s="454"/>
      <c r="G665" s="454"/>
      <c r="H665" s="454"/>
    </row>
    <row r="666" spans="3:8" x14ac:dyDescent="0.25">
      <c r="C666" s="454"/>
      <c r="D666" s="454"/>
      <c r="E666" s="454"/>
      <c r="F666" s="454"/>
      <c r="G666" s="454"/>
      <c r="H666" s="454"/>
    </row>
    <row r="667" spans="3:8" x14ac:dyDescent="0.25">
      <c r="C667" s="454"/>
      <c r="D667" s="454"/>
      <c r="E667" s="454"/>
      <c r="F667" s="454"/>
      <c r="G667" s="454"/>
      <c r="H667" s="454"/>
    </row>
    <row r="668" spans="3:8" x14ac:dyDescent="0.25">
      <c r="C668" s="454"/>
      <c r="D668" s="454"/>
      <c r="E668" s="454"/>
      <c r="F668" s="454"/>
      <c r="G668" s="454"/>
      <c r="H668" s="454"/>
    </row>
    <row r="669" spans="3:8" x14ac:dyDescent="0.25">
      <c r="C669" s="454"/>
      <c r="D669" s="454"/>
      <c r="E669" s="454"/>
      <c r="F669" s="454"/>
      <c r="G669" s="454"/>
      <c r="H669" s="454"/>
    </row>
    <row r="670" spans="3:8" x14ac:dyDescent="0.25">
      <c r="C670" s="454"/>
      <c r="D670" s="454"/>
      <c r="E670" s="454"/>
      <c r="F670" s="454"/>
      <c r="G670" s="454"/>
      <c r="H670" s="454"/>
    </row>
    <row r="671" spans="3:8" x14ac:dyDescent="0.25">
      <c r="C671" s="454"/>
      <c r="D671" s="454"/>
      <c r="E671" s="454"/>
      <c r="F671" s="454"/>
      <c r="G671" s="454"/>
      <c r="H671" s="454"/>
    </row>
    <row r="672" spans="3:8" x14ac:dyDescent="0.25">
      <c r="C672" s="454"/>
      <c r="D672" s="454"/>
      <c r="E672" s="454"/>
      <c r="F672" s="454"/>
      <c r="G672" s="454"/>
      <c r="H672" s="454"/>
    </row>
    <row r="673" spans="3:8" x14ac:dyDescent="0.25">
      <c r="C673" s="454"/>
      <c r="D673" s="454"/>
      <c r="E673" s="454"/>
      <c r="F673" s="454"/>
      <c r="G673" s="454"/>
      <c r="H673" s="454"/>
    </row>
    <row r="674" spans="3:8" x14ac:dyDescent="0.25">
      <c r="C674" s="454"/>
      <c r="D674" s="454"/>
      <c r="E674" s="454"/>
      <c r="F674" s="454"/>
      <c r="G674" s="454"/>
      <c r="H674" s="454"/>
    </row>
    <row r="675" spans="3:8" x14ac:dyDescent="0.25">
      <c r="C675" s="454"/>
      <c r="D675" s="454"/>
      <c r="E675" s="454"/>
      <c r="F675" s="454"/>
      <c r="G675" s="454"/>
      <c r="H675" s="454"/>
    </row>
    <row r="676" spans="3:8" x14ac:dyDescent="0.25">
      <c r="C676" s="454"/>
      <c r="D676" s="454"/>
      <c r="E676" s="454"/>
      <c r="F676" s="454"/>
      <c r="G676" s="454"/>
      <c r="H676" s="454"/>
    </row>
    <row r="677" spans="3:8" x14ac:dyDescent="0.25">
      <c r="C677" s="454"/>
      <c r="D677" s="454"/>
      <c r="E677" s="454"/>
      <c r="F677" s="454"/>
      <c r="G677" s="454"/>
      <c r="H677" s="454"/>
    </row>
    <row r="678" spans="3:8" x14ac:dyDescent="0.25">
      <c r="C678" s="454"/>
      <c r="D678" s="454"/>
      <c r="E678" s="454"/>
      <c r="F678" s="454"/>
      <c r="G678" s="454"/>
      <c r="H678" s="454"/>
    </row>
    <row r="679" spans="3:8" x14ac:dyDescent="0.25">
      <c r="C679" s="454"/>
      <c r="D679" s="454"/>
      <c r="E679" s="454"/>
      <c r="F679" s="454"/>
      <c r="G679" s="454"/>
      <c r="H679" s="454"/>
    </row>
    <row r="680" spans="3:8" x14ac:dyDescent="0.25">
      <c r="C680" s="454"/>
      <c r="D680" s="454"/>
      <c r="E680" s="454"/>
      <c r="F680" s="454"/>
      <c r="G680" s="454"/>
      <c r="H680" s="454"/>
    </row>
    <row r="681" spans="3:8" x14ac:dyDescent="0.25">
      <c r="C681" s="454"/>
      <c r="D681" s="454"/>
      <c r="E681" s="454"/>
      <c r="F681" s="454"/>
      <c r="G681" s="454"/>
      <c r="H681" s="454"/>
    </row>
    <row r="682" spans="3:8" x14ac:dyDescent="0.25">
      <c r="C682" s="454"/>
      <c r="D682" s="454"/>
      <c r="E682" s="454"/>
      <c r="F682" s="454"/>
      <c r="G682" s="454"/>
      <c r="H682" s="454"/>
    </row>
    <row r="683" spans="3:8" x14ac:dyDescent="0.25">
      <c r="C683" s="454"/>
      <c r="D683" s="454"/>
      <c r="E683" s="454"/>
      <c r="F683" s="454"/>
      <c r="G683" s="454"/>
      <c r="H683" s="454"/>
    </row>
    <row r="684" spans="3:8" x14ac:dyDescent="0.25">
      <c r="C684" s="454"/>
      <c r="D684" s="454"/>
      <c r="E684" s="454"/>
      <c r="F684" s="454"/>
      <c r="G684" s="454"/>
      <c r="H684" s="454"/>
    </row>
    <row r="685" spans="3:8" x14ac:dyDescent="0.25">
      <c r="C685" s="454"/>
      <c r="D685" s="454"/>
      <c r="E685" s="454"/>
      <c r="F685" s="454"/>
      <c r="G685" s="454"/>
      <c r="H685" s="454"/>
    </row>
    <row r="686" spans="3:8" x14ac:dyDescent="0.25">
      <c r="C686" s="454"/>
      <c r="D686" s="454"/>
      <c r="E686" s="454"/>
      <c r="F686" s="454"/>
      <c r="G686" s="454"/>
      <c r="H686" s="454"/>
    </row>
    <row r="687" spans="3:8" x14ac:dyDescent="0.25">
      <c r="C687" s="454"/>
      <c r="D687" s="454"/>
      <c r="E687" s="454"/>
      <c r="F687" s="454"/>
      <c r="G687" s="454"/>
      <c r="H687" s="454"/>
    </row>
    <row r="688" spans="3:8" x14ac:dyDescent="0.25">
      <c r="C688" s="454"/>
      <c r="D688" s="454"/>
      <c r="E688" s="454"/>
      <c r="F688" s="454"/>
      <c r="G688" s="454"/>
      <c r="H688" s="454"/>
    </row>
    <row r="689" spans="3:8" x14ac:dyDescent="0.25">
      <c r="C689" s="454"/>
      <c r="D689" s="454"/>
      <c r="E689" s="454"/>
      <c r="F689" s="454"/>
      <c r="G689" s="454"/>
      <c r="H689" s="454"/>
    </row>
    <row r="690" spans="3:8" x14ac:dyDescent="0.25">
      <c r="C690" s="454"/>
      <c r="D690" s="454"/>
      <c r="E690" s="454"/>
      <c r="F690" s="454"/>
      <c r="G690" s="454"/>
      <c r="H690" s="454"/>
    </row>
    <row r="691" spans="3:8" x14ac:dyDescent="0.25">
      <c r="C691" s="454"/>
      <c r="D691" s="454"/>
      <c r="E691" s="454"/>
      <c r="F691" s="454"/>
      <c r="G691" s="454"/>
      <c r="H691" s="454"/>
    </row>
    <row r="692" spans="3:8" x14ac:dyDescent="0.25">
      <c r="C692" s="454"/>
      <c r="D692" s="454"/>
      <c r="E692" s="454"/>
      <c r="F692" s="454"/>
      <c r="G692" s="454"/>
      <c r="H692" s="454"/>
    </row>
    <row r="693" spans="3:8" x14ac:dyDescent="0.25">
      <c r="C693" s="454"/>
      <c r="D693" s="454"/>
      <c r="E693" s="454"/>
      <c r="F693" s="454"/>
      <c r="G693" s="454"/>
      <c r="H693" s="454"/>
    </row>
    <row r="694" spans="3:8" x14ac:dyDescent="0.25">
      <c r="C694" s="454"/>
      <c r="D694" s="454"/>
      <c r="E694" s="454"/>
      <c r="F694" s="454"/>
      <c r="G694" s="454"/>
      <c r="H694" s="454"/>
    </row>
    <row r="695" spans="3:8" x14ac:dyDescent="0.25">
      <c r="C695" s="454"/>
      <c r="D695" s="454"/>
      <c r="E695" s="454"/>
      <c r="F695" s="454"/>
      <c r="G695" s="454"/>
      <c r="H695" s="454"/>
    </row>
    <row r="696" spans="3:8" x14ac:dyDescent="0.25">
      <c r="C696" s="454"/>
      <c r="D696" s="454"/>
      <c r="E696" s="454"/>
      <c r="F696" s="454"/>
      <c r="G696" s="454"/>
      <c r="H696" s="454"/>
    </row>
    <row r="697" spans="3:8" x14ac:dyDescent="0.25">
      <c r="C697" s="454"/>
      <c r="D697" s="454"/>
      <c r="E697" s="454"/>
      <c r="F697" s="454"/>
      <c r="G697" s="454"/>
      <c r="H697" s="454"/>
    </row>
    <row r="698" spans="3:8" x14ac:dyDescent="0.25">
      <c r="C698" s="454"/>
      <c r="D698" s="454"/>
      <c r="E698" s="454"/>
      <c r="F698" s="454"/>
      <c r="G698" s="454"/>
      <c r="H698" s="454"/>
    </row>
    <row r="699" spans="3:8" x14ac:dyDescent="0.25">
      <c r="C699" s="454"/>
      <c r="D699" s="454"/>
      <c r="E699" s="454"/>
      <c r="F699" s="454"/>
      <c r="G699" s="454"/>
      <c r="H699" s="454"/>
    </row>
    <row r="700" spans="3:8" x14ac:dyDescent="0.25">
      <c r="C700" s="454"/>
      <c r="D700" s="454"/>
      <c r="E700" s="454"/>
      <c r="F700" s="454"/>
      <c r="G700" s="454"/>
      <c r="H700" s="454"/>
    </row>
    <row r="701" spans="3:8" x14ac:dyDescent="0.25">
      <c r="C701" s="454"/>
      <c r="D701" s="454"/>
      <c r="E701" s="454"/>
      <c r="F701" s="454"/>
      <c r="G701" s="454"/>
      <c r="H701" s="454"/>
    </row>
    <row r="702" spans="3:8" x14ac:dyDescent="0.25">
      <c r="C702" s="454"/>
      <c r="D702" s="454"/>
      <c r="E702" s="454"/>
      <c r="F702" s="454"/>
      <c r="G702" s="454"/>
      <c r="H702" s="454"/>
    </row>
    <row r="703" spans="3:8" x14ac:dyDescent="0.25">
      <c r="C703" s="454"/>
      <c r="D703" s="454"/>
      <c r="E703" s="454"/>
      <c r="F703" s="454"/>
      <c r="G703" s="454"/>
      <c r="H703" s="454"/>
    </row>
    <row r="704" spans="3:8" x14ac:dyDescent="0.25">
      <c r="C704" s="454"/>
      <c r="D704" s="454"/>
      <c r="E704" s="454"/>
      <c r="F704" s="454"/>
      <c r="G704" s="454"/>
      <c r="H704" s="454"/>
    </row>
    <row r="705" spans="3:8" x14ac:dyDescent="0.25">
      <c r="C705" s="454"/>
      <c r="D705" s="454"/>
      <c r="E705" s="454"/>
      <c r="F705" s="454"/>
      <c r="G705" s="454"/>
      <c r="H705" s="454"/>
    </row>
    <row r="706" spans="3:8" x14ac:dyDescent="0.25">
      <c r="C706" s="454"/>
      <c r="D706" s="454"/>
      <c r="E706" s="454"/>
      <c r="F706" s="454"/>
      <c r="G706" s="454"/>
      <c r="H706" s="454"/>
    </row>
    <row r="707" spans="3:8" x14ac:dyDescent="0.25">
      <c r="C707" s="454"/>
      <c r="D707" s="454"/>
      <c r="E707" s="454"/>
      <c r="F707" s="454"/>
      <c r="G707" s="454"/>
      <c r="H707" s="454"/>
    </row>
    <row r="708" spans="3:8" x14ac:dyDescent="0.25">
      <c r="C708" s="454"/>
      <c r="D708" s="454"/>
      <c r="E708" s="454"/>
      <c r="F708" s="454"/>
      <c r="G708" s="454"/>
      <c r="H708" s="454"/>
    </row>
    <row r="709" spans="3:8" x14ac:dyDescent="0.25">
      <c r="C709" s="454"/>
      <c r="D709" s="454"/>
      <c r="E709" s="454"/>
      <c r="F709" s="454"/>
      <c r="G709" s="454"/>
      <c r="H709" s="454"/>
    </row>
    <row r="710" spans="3:8" x14ac:dyDescent="0.25">
      <c r="C710" s="454"/>
      <c r="D710" s="454"/>
      <c r="E710" s="454"/>
      <c r="F710" s="454"/>
      <c r="G710" s="454"/>
      <c r="H710" s="454"/>
    </row>
    <row r="711" spans="3:8" x14ac:dyDescent="0.25">
      <c r="C711" s="454"/>
      <c r="D711" s="454"/>
      <c r="E711" s="454"/>
      <c r="F711" s="454"/>
      <c r="G711" s="454"/>
      <c r="H711" s="454"/>
    </row>
    <row r="712" spans="3:8" x14ac:dyDescent="0.25">
      <c r="C712" s="454"/>
      <c r="D712" s="454"/>
      <c r="E712" s="454"/>
      <c r="F712" s="454"/>
      <c r="G712" s="454"/>
      <c r="H712" s="454"/>
    </row>
    <row r="713" spans="3:8" x14ac:dyDescent="0.25">
      <c r="C713" s="454"/>
      <c r="D713" s="454"/>
      <c r="E713" s="454"/>
      <c r="F713" s="454"/>
      <c r="G713" s="454"/>
      <c r="H713" s="454"/>
    </row>
    <row r="714" spans="3:8" x14ac:dyDescent="0.25">
      <c r="C714" s="454"/>
      <c r="D714" s="454"/>
      <c r="E714" s="454"/>
      <c r="F714" s="454"/>
      <c r="G714" s="454"/>
      <c r="H714" s="454"/>
    </row>
    <row r="715" spans="3:8" x14ac:dyDescent="0.25">
      <c r="C715" s="454"/>
      <c r="D715" s="454"/>
      <c r="E715" s="454"/>
      <c r="F715" s="454"/>
      <c r="G715" s="454"/>
      <c r="H715" s="454"/>
    </row>
    <row r="716" spans="3:8" x14ac:dyDescent="0.25">
      <c r="C716" s="454"/>
      <c r="D716" s="454"/>
      <c r="E716" s="454"/>
      <c r="F716" s="454"/>
      <c r="G716" s="454"/>
      <c r="H716" s="454"/>
    </row>
    <row r="717" spans="3:8" x14ac:dyDescent="0.25">
      <c r="C717" s="454"/>
      <c r="D717" s="454"/>
      <c r="E717" s="454"/>
      <c r="F717" s="454"/>
      <c r="G717" s="454"/>
      <c r="H717" s="454"/>
    </row>
    <row r="718" spans="3:8" x14ac:dyDescent="0.25">
      <c r="C718" s="454"/>
      <c r="D718" s="454"/>
      <c r="E718" s="454"/>
      <c r="F718" s="454"/>
      <c r="G718" s="454"/>
      <c r="H718" s="454"/>
    </row>
    <row r="719" spans="3:8" x14ac:dyDescent="0.25">
      <c r="C719" s="454"/>
      <c r="D719" s="454"/>
      <c r="E719" s="454"/>
      <c r="F719" s="454"/>
      <c r="G719" s="454"/>
      <c r="H719" s="454"/>
    </row>
    <row r="720" spans="3:8" x14ac:dyDescent="0.25">
      <c r="C720" s="454"/>
      <c r="D720" s="454"/>
      <c r="E720" s="454"/>
      <c r="F720" s="454"/>
      <c r="G720" s="454"/>
      <c r="H720" s="454"/>
    </row>
    <row r="721" spans="3:8" x14ac:dyDescent="0.25">
      <c r="C721" s="454"/>
      <c r="D721" s="454"/>
      <c r="E721" s="454"/>
      <c r="F721" s="454"/>
      <c r="G721" s="454"/>
      <c r="H721" s="454"/>
    </row>
    <row r="722" spans="3:8" x14ac:dyDescent="0.25">
      <c r="C722" s="454"/>
      <c r="D722" s="454"/>
      <c r="E722" s="454"/>
      <c r="F722" s="454"/>
      <c r="G722" s="454"/>
      <c r="H722" s="454"/>
    </row>
    <row r="723" spans="3:8" x14ac:dyDescent="0.25">
      <c r="C723" s="454"/>
      <c r="D723" s="454"/>
      <c r="E723" s="454"/>
      <c r="F723" s="454"/>
      <c r="G723" s="454"/>
      <c r="H723" s="454"/>
    </row>
    <row r="724" spans="3:8" x14ac:dyDescent="0.25">
      <c r="C724" s="454"/>
      <c r="D724" s="454"/>
      <c r="E724" s="454"/>
      <c r="F724" s="454"/>
      <c r="G724" s="454"/>
      <c r="H724" s="454"/>
    </row>
    <row r="725" spans="3:8" x14ac:dyDescent="0.25">
      <c r="C725" s="454"/>
      <c r="D725" s="454"/>
      <c r="E725" s="454"/>
      <c r="F725" s="454"/>
      <c r="G725" s="454"/>
      <c r="H725" s="454"/>
    </row>
    <row r="726" spans="3:8" x14ac:dyDescent="0.25">
      <c r="C726" s="454"/>
      <c r="D726" s="454"/>
      <c r="E726" s="454"/>
      <c r="F726" s="454"/>
      <c r="G726" s="454"/>
      <c r="H726" s="454"/>
    </row>
    <row r="727" spans="3:8" x14ac:dyDescent="0.25">
      <c r="C727" s="454"/>
      <c r="D727" s="454"/>
      <c r="E727" s="454"/>
      <c r="F727" s="454"/>
      <c r="G727" s="454"/>
      <c r="H727" s="454"/>
    </row>
    <row r="728" spans="3:8" x14ac:dyDescent="0.25">
      <c r="C728" s="454"/>
      <c r="D728" s="454"/>
      <c r="E728" s="454"/>
      <c r="F728" s="454"/>
      <c r="G728" s="454"/>
      <c r="H728" s="454"/>
    </row>
    <row r="729" spans="3:8" x14ac:dyDescent="0.25">
      <c r="C729" s="454"/>
      <c r="D729" s="454"/>
      <c r="E729" s="454"/>
      <c r="F729" s="454"/>
      <c r="G729" s="454"/>
      <c r="H729" s="454"/>
    </row>
    <row r="730" spans="3:8" x14ac:dyDescent="0.25">
      <c r="C730" s="454"/>
      <c r="D730" s="454"/>
      <c r="E730" s="454"/>
      <c r="F730" s="454"/>
      <c r="G730" s="454"/>
      <c r="H730" s="454"/>
    </row>
    <row r="731" spans="3:8" x14ac:dyDescent="0.25">
      <c r="C731" s="454"/>
      <c r="D731" s="454"/>
      <c r="E731" s="454"/>
      <c r="F731" s="454"/>
      <c r="G731" s="454"/>
      <c r="H731" s="454"/>
    </row>
    <row r="732" spans="3:8" x14ac:dyDescent="0.25">
      <c r="C732" s="454"/>
      <c r="D732" s="454"/>
      <c r="E732" s="454"/>
      <c r="F732" s="454"/>
      <c r="G732" s="454"/>
      <c r="H732" s="454"/>
    </row>
    <row r="733" spans="3:8" x14ac:dyDescent="0.25">
      <c r="C733" s="454"/>
      <c r="D733" s="454"/>
      <c r="E733" s="454"/>
      <c r="F733" s="454"/>
      <c r="G733" s="454"/>
      <c r="H733" s="454"/>
    </row>
    <row r="734" spans="3:8" x14ac:dyDescent="0.25">
      <c r="C734" s="454"/>
      <c r="D734" s="454"/>
      <c r="E734" s="454"/>
      <c r="F734" s="454"/>
      <c r="G734" s="454"/>
      <c r="H734" s="454"/>
    </row>
    <row r="735" spans="3:8" x14ac:dyDescent="0.25">
      <c r="C735" s="454"/>
      <c r="D735" s="454"/>
      <c r="E735" s="454"/>
      <c r="F735" s="454"/>
      <c r="G735" s="454"/>
      <c r="H735" s="454"/>
    </row>
    <row r="736" spans="3:8" x14ac:dyDescent="0.25">
      <c r="C736" s="454"/>
      <c r="D736" s="454"/>
      <c r="E736" s="454"/>
      <c r="F736" s="454"/>
      <c r="G736" s="454"/>
      <c r="H736" s="454"/>
    </row>
    <row r="737" spans="3:8" x14ac:dyDescent="0.25">
      <c r="C737" s="454"/>
      <c r="D737" s="454"/>
      <c r="E737" s="454"/>
      <c r="F737" s="454"/>
      <c r="G737" s="454"/>
      <c r="H737" s="454"/>
    </row>
    <row r="738" spans="3:8" x14ac:dyDescent="0.25">
      <c r="C738" s="454"/>
      <c r="D738" s="454"/>
      <c r="E738" s="454"/>
      <c r="F738" s="454"/>
      <c r="G738" s="454"/>
      <c r="H738" s="454"/>
    </row>
    <row r="739" spans="3:8" x14ac:dyDescent="0.25">
      <c r="C739" s="454"/>
      <c r="D739" s="454"/>
      <c r="E739" s="454"/>
      <c r="F739" s="454"/>
      <c r="G739" s="454"/>
      <c r="H739" s="454"/>
    </row>
    <row r="740" spans="3:8" x14ac:dyDescent="0.25">
      <c r="C740" s="454"/>
      <c r="D740" s="454"/>
      <c r="E740" s="454"/>
      <c r="F740" s="454"/>
      <c r="G740" s="454"/>
      <c r="H740" s="454"/>
    </row>
    <row r="741" spans="3:8" x14ac:dyDescent="0.25">
      <c r="C741" s="454"/>
      <c r="D741" s="454"/>
      <c r="E741" s="454"/>
      <c r="F741" s="454"/>
      <c r="G741" s="454"/>
      <c r="H741" s="454"/>
    </row>
    <row r="742" spans="3:8" x14ac:dyDescent="0.25">
      <c r="C742" s="454"/>
      <c r="D742" s="454"/>
      <c r="E742" s="454"/>
      <c r="F742" s="454"/>
      <c r="G742" s="454"/>
      <c r="H742" s="454"/>
    </row>
    <row r="743" spans="3:8" x14ac:dyDescent="0.25">
      <c r="C743" s="454"/>
      <c r="D743" s="454"/>
      <c r="E743" s="454"/>
      <c r="F743" s="454"/>
      <c r="G743" s="454"/>
      <c r="H743" s="454"/>
    </row>
    <row r="744" spans="3:8" x14ac:dyDescent="0.25">
      <c r="C744" s="454"/>
      <c r="D744" s="454"/>
      <c r="E744" s="454"/>
      <c r="F744" s="454"/>
      <c r="G744" s="454"/>
      <c r="H744" s="454"/>
    </row>
    <row r="745" spans="3:8" x14ac:dyDescent="0.25">
      <c r="C745" s="454"/>
      <c r="D745" s="454"/>
      <c r="E745" s="454"/>
      <c r="F745" s="454"/>
      <c r="G745" s="454"/>
      <c r="H745" s="454"/>
    </row>
    <row r="746" spans="3:8" x14ac:dyDescent="0.25">
      <c r="C746" s="454"/>
      <c r="D746" s="454"/>
      <c r="E746" s="454"/>
      <c r="F746" s="454"/>
      <c r="G746" s="454"/>
      <c r="H746" s="454"/>
    </row>
    <row r="747" spans="3:8" x14ac:dyDescent="0.25">
      <c r="C747" s="454"/>
      <c r="D747" s="454"/>
      <c r="E747" s="454"/>
      <c r="F747" s="454"/>
      <c r="G747" s="454"/>
      <c r="H747" s="454"/>
    </row>
    <row r="748" spans="3:8" x14ac:dyDescent="0.25">
      <c r="C748" s="454"/>
      <c r="D748" s="454"/>
      <c r="E748" s="454"/>
      <c r="F748" s="454"/>
      <c r="G748" s="454"/>
      <c r="H748" s="454"/>
    </row>
    <row r="749" spans="3:8" x14ac:dyDescent="0.25">
      <c r="C749" s="454"/>
      <c r="D749" s="454"/>
      <c r="E749" s="454"/>
      <c r="F749" s="454"/>
      <c r="G749" s="454"/>
      <c r="H749" s="454"/>
    </row>
    <row r="750" spans="3:8" x14ac:dyDescent="0.25">
      <c r="C750" s="454"/>
      <c r="D750" s="454"/>
      <c r="E750" s="454"/>
      <c r="F750" s="454"/>
      <c r="G750" s="454"/>
      <c r="H750" s="454"/>
    </row>
    <row r="751" spans="3:8" x14ac:dyDescent="0.25">
      <c r="C751" s="454"/>
      <c r="D751" s="454"/>
      <c r="E751" s="454"/>
      <c r="F751" s="454"/>
      <c r="G751" s="454"/>
      <c r="H751" s="454"/>
    </row>
    <row r="752" spans="3:8" x14ac:dyDescent="0.25">
      <c r="C752" s="454"/>
      <c r="D752" s="454"/>
      <c r="E752" s="454"/>
      <c r="F752" s="454"/>
      <c r="G752" s="454"/>
      <c r="H752" s="454"/>
    </row>
    <row r="753" spans="3:8" x14ac:dyDescent="0.25">
      <c r="C753" s="454"/>
      <c r="D753" s="454"/>
      <c r="E753" s="454"/>
      <c r="F753" s="454"/>
      <c r="G753" s="454"/>
      <c r="H753" s="454"/>
    </row>
  </sheetData>
  <mergeCells count="765">
    <mergeCell ref="C536:H536"/>
    <mergeCell ref="C537:H537"/>
    <mergeCell ref="C538:H538"/>
    <mergeCell ref="C529:H529"/>
    <mergeCell ref="C530:H530"/>
    <mergeCell ref="C531:H531"/>
    <mergeCell ref="C532:H532"/>
    <mergeCell ref="C521:H521"/>
    <mergeCell ref="C522:H522"/>
    <mergeCell ref="C523:H523"/>
    <mergeCell ref="C535:H535"/>
    <mergeCell ref="C526:H526"/>
    <mergeCell ref="C533:H533"/>
    <mergeCell ref="C534:H534"/>
    <mergeCell ref="C513:H513"/>
    <mergeCell ref="C514:H514"/>
    <mergeCell ref="C524:H524"/>
    <mergeCell ref="C525:H525"/>
    <mergeCell ref="C527:H527"/>
    <mergeCell ref="C528:H528"/>
    <mergeCell ref="C509:H509"/>
    <mergeCell ref="C510:H510"/>
    <mergeCell ref="C511:H511"/>
    <mergeCell ref="C512:H512"/>
    <mergeCell ref="C517:H517"/>
    <mergeCell ref="C516:H516"/>
    <mergeCell ref="C515:H515"/>
    <mergeCell ref="C518:H518"/>
    <mergeCell ref="C520:H520"/>
    <mergeCell ref="C519:H519"/>
    <mergeCell ref="C429:H429"/>
    <mergeCell ref="C381:H381"/>
    <mergeCell ref="C397:H397"/>
    <mergeCell ref="C399:H399"/>
    <mergeCell ref="C400:H400"/>
    <mergeCell ref="C401:H401"/>
    <mergeCell ref="C402:H402"/>
    <mergeCell ref="C392:H392"/>
    <mergeCell ref="C353:H353"/>
    <mergeCell ref="C354:H354"/>
    <mergeCell ref="C404:H404"/>
    <mergeCell ref="C405:H405"/>
    <mergeCell ref="C406:H406"/>
    <mergeCell ref="C379:H379"/>
    <mergeCell ref="C380:H380"/>
    <mergeCell ref="C389:H389"/>
    <mergeCell ref="C390:H390"/>
    <mergeCell ref="C403:H403"/>
    <mergeCell ref="C388:H388"/>
    <mergeCell ref="C396:H396"/>
    <mergeCell ref="C391:H391"/>
    <mergeCell ref="C395:H395"/>
    <mergeCell ref="C398:H398"/>
    <mergeCell ref="C393:H393"/>
    <mergeCell ref="C573:H573"/>
    <mergeCell ref="C574:H574"/>
    <mergeCell ref="K343:O343"/>
    <mergeCell ref="A344:J344"/>
    <mergeCell ref="C562:H562"/>
    <mergeCell ref="C563:H563"/>
    <mergeCell ref="C564:H564"/>
    <mergeCell ref="C565:H565"/>
    <mergeCell ref="C325:H325"/>
    <mergeCell ref="C326:H326"/>
    <mergeCell ref="C327:H327"/>
    <mergeCell ref="C329:H329"/>
    <mergeCell ref="C330:H330"/>
    <mergeCell ref="C331:H331"/>
    <mergeCell ref="C332:H332"/>
    <mergeCell ref="C333:H333"/>
    <mergeCell ref="C334:H334"/>
    <mergeCell ref="C335:H335"/>
    <mergeCell ref="C336:H336"/>
    <mergeCell ref="C337:H337"/>
    <mergeCell ref="C341:H341"/>
    <mergeCell ref="C342:H342"/>
    <mergeCell ref="A343:J343"/>
    <mergeCell ref="C504:H504"/>
    <mergeCell ref="C378:H378"/>
    <mergeCell ref="C350:H350"/>
    <mergeCell ref="C580:H580"/>
    <mergeCell ref="C581:H581"/>
    <mergeCell ref="C582:H582"/>
    <mergeCell ref="C583:H583"/>
    <mergeCell ref="C567:H567"/>
    <mergeCell ref="C568:H568"/>
    <mergeCell ref="C569:H569"/>
    <mergeCell ref="C570:H570"/>
    <mergeCell ref="C551:H551"/>
    <mergeCell ref="C552:H552"/>
    <mergeCell ref="C553:H553"/>
    <mergeCell ref="C554:H554"/>
    <mergeCell ref="C555:H555"/>
    <mergeCell ref="C556:H556"/>
    <mergeCell ref="C558:H558"/>
    <mergeCell ref="C557:H557"/>
    <mergeCell ref="C566:H566"/>
    <mergeCell ref="C559:H559"/>
    <mergeCell ref="C560:H560"/>
    <mergeCell ref="C561:H561"/>
    <mergeCell ref="C571:H571"/>
    <mergeCell ref="C572:H572"/>
    <mergeCell ref="C241:H241"/>
    <mergeCell ref="C242:H242"/>
    <mergeCell ref="C243:H243"/>
    <mergeCell ref="C575:H575"/>
    <mergeCell ref="C576:H576"/>
    <mergeCell ref="C577:H577"/>
    <mergeCell ref="C578:H578"/>
    <mergeCell ref="C579:H579"/>
    <mergeCell ref="C122:H122"/>
    <mergeCell ref="C423:H423"/>
    <mergeCell ref="C424:H424"/>
    <mergeCell ref="C425:H425"/>
    <mergeCell ref="C426:H426"/>
    <mergeCell ref="C427:H427"/>
    <mergeCell ref="C428:H428"/>
    <mergeCell ref="C254:H254"/>
    <mergeCell ref="C257:H257"/>
    <mergeCell ref="C258:H258"/>
    <mergeCell ref="C259:H259"/>
    <mergeCell ref="C260:H260"/>
    <mergeCell ref="C356:H356"/>
    <mergeCell ref="C357:H357"/>
    <mergeCell ref="C358:H358"/>
    <mergeCell ref="C349:H349"/>
    <mergeCell ref="C231:H231"/>
    <mergeCell ref="C223:H223"/>
    <mergeCell ref="C224:H224"/>
    <mergeCell ref="C228:H228"/>
    <mergeCell ref="C229:H229"/>
    <mergeCell ref="C230:H230"/>
    <mergeCell ref="C351:H351"/>
    <mergeCell ref="C225:H225"/>
    <mergeCell ref="C226:H226"/>
    <mergeCell ref="C227:H227"/>
    <mergeCell ref="C233:H233"/>
    <mergeCell ref="C234:H234"/>
    <mergeCell ref="C235:H235"/>
    <mergeCell ref="C236:H236"/>
    <mergeCell ref="C237:H237"/>
    <mergeCell ref="C232:H232"/>
    <mergeCell ref="C239:H239"/>
    <mergeCell ref="C240:H240"/>
    <mergeCell ref="C248:H248"/>
    <mergeCell ref="C249:H249"/>
    <mergeCell ref="C250:H250"/>
    <mergeCell ref="C251:H251"/>
    <mergeCell ref="C252:H252"/>
    <mergeCell ref="C253:H253"/>
    <mergeCell ref="C20:H20"/>
    <mergeCell ref="C21:H21"/>
    <mergeCell ref="C22:H22"/>
    <mergeCell ref="C13:H13"/>
    <mergeCell ref="C14:H14"/>
    <mergeCell ref="C15:H15"/>
    <mergeCell ref="C16:H16"/>
    <mergeCell ref="A5:J5"/>
    <mergeCell ref="C6:H6"/>
    <mergeCell ref="A7:J7"/>
    <mergeCell ref="C8:H8"/>
    <mergeCell ref="C9:H9"/>
    <mergeCell ref="C10:H10"/>
    <mergeCell ref="C17:H17"/>
    <mergeCell ref="C18:H18"/>
    <mergeCell ref="C19:H19"/>
    <mergeCell ref="C39:H39"/>
    <mergeCell ref="C40:H40"/>
    <mergeCell ref="C33:H33"/>
    <mergeCell ref="C34:H34"/>
    <mergeCell ref="C35:H35"/>
    <mergeCell ref="C26:H26"/>
    <mergeCell ref="C27:H27"/>
    <mergeCell ref="C28:H28"/>
    <mergeCell ref="C31:H31"/>
    <mergeCell ref="C23:H23"/>
    <mergeCell ref="C24:H24"/>
    <mergeCell ref="C25:H25"/>
    <mergeCell ref="C29:H29"/>
    <mergeCell ref="C30:H30"/>
    <mergeCell ref="C32:H32"/>
    <mergeCell ref="C36:H36"/>
    <mergeCell ref="C37:H37"/>
    <mergeCell ref="C38:H38"/>
    <mergeCell ref="A1:J1"/>
    <mergeCell ref="B2:H2"/>
    <mergeCell ref="I2:J2"/>
    <mergeCell ref="B3:H3"/>
    <mergeCell ref="I3:J3"/>
    <mergeCell ref="B4:H4"/>
    <mergeCell ref="I4:J4"/>
    <mergeCell ref="C11:H11"/>
    <mergeCell ref="C12:H12"/>
    <mergeCell ref="C41:H41"/>
    <mergeCell ref="C42:H42"/>
    <mergeCell ref="C43:H43"/>
    <mergeCell ref="C44:H44"/>
    <mergeCell ref="C47:H47"/>
    <mergeCell ref="C59:H59"/>
    <mergeCell ref="C62:H62"/>
    <mergeCell ref="C45:H45"/>
    <mergeCell ref="C46:H46"/>
    <mergeCell ref="C63:H63"/>
    <mergeCell ref="C49:H49"/>
    <mergeCell ref="C48:H48"/>
    <mergeCell ref="C50:H50"/>
    <mergeCell ref="C58:H58"/>
    <mergeCell ref="C60:H60"/>
    <mergeCell ref="C61:H61"/>
    <mergeCell ref="C51:H51"/>
    <mergeCell ref="C52:H52"/>
    <mergeCell ref="C53:H53"/>
    <mergeCell ref="C54:H54"/>
    <mergeCell ref="C55:H55"/>
    <mergeCell ref="C56:H56"/>
    <mergeCell ref="C57:H57"/>
    <mergeCell ref="C64:H64"/>
    <mergeCell ref="C65:H65"/>
    <mergeCell ref="C66:H66"/>
    <mergeCell ref="C82:H82"/>
    <mergeCell ref="C72:H72"/>
    <mergeCell ref="C73:H73"/>
    <mergeCell ref="C83:H83"/>
    <mergeCell ref="C76:H76"/>
    <mergeCell ref="C74:H74"/>
    <mergeCell ref="C68:H68"/>
    <mergeCell ref="C75:H75"/>
    <mergeCell ref="C69:H69"/>
    <mergeCell ref="C70:H70"/>
    <mergeCell ref="C71:H71"/>
    <mergeCell ref="C79:H79"/>
    <mergeCell ref="C80:H80"/>
    <mergeCell ref="C78:H78"/>
    <mergeCell ref="C81:H81"/>
    <mergeCell ref="C77:H77"/>
    <mergeCell ref="C84:H84"/>
    <mergeCell ref="C85:H85"/>
    <mergeCell ref="C86:H86"/>
    <mergeCell ref="C87:H87"/>
    <mergeCell ref="C89:H89"/>
    <mergeCell ref="C93:H93"/>
    <mergeCell ref="C90:H90"/>
    <mergeCell ref="C91:H91"/>
    <mergeCell ref="C92:H92"/>
    <mergeCell ref="C88:H88"/>
    <mergeCell ref="C103:H103"/>
    <mergeCell ref="C107:H107"/>
    <mergeCell ref="C104:H104"/>
    <mergeCell ref="C105:H105"/>
    <mergeCell ref="C106:H106"/>
    <mergeCell ref="C94:H94"/>
    <mergeCell ref="C95:H95"/>
    <mergeCell ref="C96:H96"/>
    <mergeCell ref="C97:H97"/>
    <mergeCell ref="C98:H98"/>
    <mergeCell ref="C99:H99"/>
    <mergeCell ref="C100:H100"/>
    <mergeCell ref="C101:H101"/>
    <mergeCell ref="C102:H102"/>
    <mergeCell ref="C121:H121"/>
    <mergeCell ref="C108:H108"/>
    <mergeCell ref="C109:H109"/>
    <mergeCell ref="C110:H110"/>
    <mergeCell ref="C111:H111"/>
    <mergeCell ref="C112:H112"/>
    <mergeCell ref="C113:H113"/>
    <mergeCell ref="C114:H114"/>
    <mergeCell ref="C115:H115"/>
    <mergeCell ref="C116:H116"/>
    <mergeCell ref="C117:H117"/>
    <mergeCell ref="C118:H118"/>
    <mergeCell ref="C119:H119"/>
    <mergeCell ref="C120:H120"/>
    <mergeCell ref="C123:H123"/>
    <mergeCell ref="C129:H129"/>
    <mergeCell ref="C130:H130"/>
    <mergeCell ref="C131:H131"/>
    <mergeCell ref="C124:H124"/>
    <mergeCell ref="C125:H125"/>
    <mergeCell ref="C149:H149"/>
    <mergeCell ref="C153:H153"/>
    <mergeCell ref="C132:H132"/>
    <mergeCell ref="C133:H133"/>
    <mergeCell ref="C146:H146"/>
    <mergeCell ref="C138:H138"/>
    <mergeCell ref="C139:H139"/>
    <mergeCell ref="C141:H141"/>
    <mergeCell ref="C142:H142"/>
    <mergeCell ref="C148:H148"/>
    <mergeCell ref="C147:H147"/>
    <mergeCell ref="C143:H143"/>
    <mergeCell ref="C144:H144"/>
    <mergeCell ref="C140:H140"/>
    <mergeCell ref="C134:H134"/>
    <mergeCell ref="C135:H135"/>
    <mergeCell ref="C136:H136"/>
    <mergeCell ref="C137:H137"/>
    <mergeCell ref="C145:H145"/>
    <mergeCell ref="C162:H162"/>
    <mergeCell ref="C161:H161"/>
    <mergeCell ref="C156:H156"/>
    <mergeCell ref="C160:H160"/>
    <mergeCell ref="C164:H164"/>
    <mergeCell ref="C165:H165"/>
    <mergeCell ref="C166:H166"/>
    <mergeCell ref="C167:H167"/>
    <mergeCell ref="C154:H154"/>
    <mergeCell ref="C155:H155"/>
    <mergeCell ref="C157:H157"/>
    <mergeCell ref="C158:H158"/>
    <mergeCell ref="C159:H159"/>
    <mergeCell ref="C150:H150"/>
    <mergeCell ref="C151:H151"/>
    <mergeCell ref="C152:H152"/>
    <mergeCell ref="C168:H168"/>
    <mergeCell ref="C169:H169"/>
    <mergeCell ref="C163:H163"/>
    <mergeCell ref="C174:H174"/>
    <mergeCell ref="C175:H175"/>
    <mergeCell ref="C176:H176"/>
    <mergeCell ref="C177:H177"/>
    <mergeCell ref="C178:H178"/>
    <mergeCell ref="C179:H179"/>
    <mergeCell ref="C170:H170"/>
    <mergeCell ref="C171:H171"/>
    <mergeCell ref="C173:H173"/>
    <mergeCell ref="C172:H172"/>
    <mergeCell ref="C186:H186"/>
    <mergeCell ref="C187:H187"/>
    <mergeCell ref="C201:H201"/>
    <mergeCell ref="C180:H180"/>
    <mergeCell ref="C181:H181"/>
    <mergeCell ref="C197:H197"/>
    <mergeCell ref="C182:H182"/>
    <mergeCell ref="C188:H188"/>
    <mergeCell ref="C189:H189"/>
    <mergeCell ref="C190:H190"/>
    <mergeCell ref="C191:H191"/>
    <mergeCell ref="C192:H192"/>
    <mergeCell ref="C193:H193"/>
    <mergeCell ref="C194:H194"/>
    <mergeCell ref="C195:H195"/>
    <mergeCell ref="C196:H196"/>
    <mergeCell ref="C183:H183"/>
    <mergeCell ref="C184:H184"/>
    <mergeCell ref="C185:H185"/>
    <mergeCell ref="C198:H198"/>
    <mergeCell ref="C205:H205"/>
    <mergeCell ref="C199:H199"/>
    <mergeCell ref="C200:H200"/>
    <mergeCell ref="C203:H203"/>
    <mergeCell ref="C204:H204"/>
    <mergeCell ref="C209:H209"/>
    <mergeCell ref="C210:H210"/>
    <mergeCell ref="C202:H202"/>
    <mergeCell ref="C238:H238"/>
    <mergeCell ref="C206:H206"/>
    <mergeCell ref="C213:H213"/>
    <mergeCell ref="C219:H219"/>
    <mergeCell ref="C220:H220"/>
    <mergeCell ref="C221:H221"/>
    <mergeCell ref="C222:H222"/>
    <mergeCell ref="C214:H214"/>
    <mergeCell ref="C215:H215"/>
    <mergeCell ref="C217:H217"/>
    <mergeCell ref="C218:H218"/>
    <mergeCell ref="C207:H207"/>
    <mergeCell ref="C216:H216"/>
    <mergeCell ref="C208:H208"/>
    <mergeCell ref="C211:H211"/>
    <mergeCell ref="C212:H212"/>
    <mergeCell ref="C244:H244"/>
    <mergeCell ref="K299:O299"/>
    <mergeCell ref="C287:H287"/>
    <mergeCell ref="C288:H288"/>
    <mergeCell ref="C290:H290"/>
    <mergeCell ref="C273:H273"/>
    <mergeCell ref="C286:H286"/>
    <mergeCell ref="C274:H274"/>
    <mergeCell ref="C275:H275"/>
    <mergeCell ref="C276:H276"/>
    <mergeCell ref="C284:H284"/>
    <mergeCell ref="C285:H285"/>
    <mergeCell ref="C277:H277"/>
    <mergeCell ref="C278:H278"/>
    <mergeCell ref="C279:H279"/>
    <mergeCell ref="C280:H280"/>
    <mergeCell ref="C281:H281"/>
    <mergeCell ref="C282:H282"/>
    <mergeCell ref="C283:H283"/>
    <mergeCell ref="C289:H289"/>
    <mergeCell ref="C245:H245"/>
    <mergeCell ref="C246:H246"/>
    <mergeCell ref="C247:H247"/>
    <mergeCell ref="C291:H291"/>
    <mergeCell ref="A315:J315"/>
    <mergeCell ref="C316:H316"/>
    <mergeCell ref="A300:J300"/>
    <mergeCell ref="C308:H308"/>
    <mergeCell ref="C301:H301"/>
    <mergeCell ref="A299:J299"/>
    <mergeCell ref="C317:H317"/>
    <mergeCell ref="C328:H328"/>
    <mergeCell ref="C318:H318"/>
    <mergeCell ref="C319:H319"/>
    <mergeCell ref="C320:H320"/>
    <mergeCell ref="C321:H321"/>
    <mergeCell ref="C322:H322"/>
    <mergeCell ref="C323:H323"/>
    <mergeCell ref="C324:H324"/>
    <mergeCell ref="C394:H394"/>
    <mergeCell ref="C383:H383"/>
    <mergeCell ref="C384:H384"/>
    <mergeCell ref="C385:H385"/>
    <mergeCell ref="C387:H387"/>
    <mergeCell ref="C382:H382"/>
    <mergeCell ref="C416:H416"/>
    <mergeCell ref="C417:H417"/>
    <mergeCell ref="C418:H418"/>
    <mergeCell ref="C386:H386"/>
    <mergeCell ref="C419:H419"/>
    <mergeCell ref="C420:H420"/>
    <mergeCell ref="C421:H421"/>
    <mergeCell ref="C422:H422"/>
    <mergeCell ref="C415:H415"/>
    <mergeCell ref="C407:H407"/>
    <mergeCell ref="C408:H408"/>
    <mergeCell ref="C409:H409"/>
    <mergeCell ref="C410:H410"/>
    <mergeCell ref="C411:H411"/>
    <mergeCell ref="C412:H412"/>
    <mergeCell ref="C413:H413"/>
    <mergeCell ref="C414:H414"/>
    <mergeCell ref="C430:H430"/>
    <mergeCell ref="C437:H437"/>
    <mergeCell ref="C438:H438"/>
    <mergeCell ref="C439:H439"/>
    <mergeCell ref="C440:H440"/>
    <mergeCell ref="C431:H431"/>
    <mergeCell ref="C432:H432"/>
    <mergeCell ref="C443:H443"/>
    <mergeCell ref="C441:H441"/>
    <mergeCell ref="C442:H442"/>
    <mergeCell ref="C436:H436"/>
    <mergeCell ref="C434:H434"/>
    <mergeCell ref="C435:H435"/>
    <mergeCell ref="C433:H433"/>
    <mergeCell ref="C445:H445"/>
    <mergeCell ref="C446:H446"/>
    <mergeCell ref="A447:J447"/>
    <mergeCell ref="C448:H448"/>
    <mergeCell ref="C449:H449"/>
    <mergeCell ref="A450:J450"/>
    <mergeCell ref="C444:H444"/>
    <mergeCell ref="C457:H457"/>
    <mergeCell ref="C458:H458"/>
    <mergeCell ref="A459:J459"/>
    <mergeCell ref="C460:H460"/>
    <mergeCell ref="C461:H461"/>
    <mergeCell ref="A462:J462"/>
    <mergeCell ref="C451:H451"/>
    <mergeCell ref="C452:H452"/>
    <mergeCell ref="A453:J453"/>
    <mergeCell ref="C454:H454"/>
    <mergeCell ref="C455:H455"/>
    <mergeCell ref="A456:J456"/>
    <mergeCell ref="C469:H469"/>
    <mergeCell ref="C470:H470"/>
    <mergeCell ref="A471:J471"/>
    <mergeCell ref="C472:H472"/>
    <mergeCell ref="C473:H473"/>
    <mergeCell ref="A474:J474"/>
    <mergeCell ref="C463:H463"/>
    <mergeCell ref="C464:H464"/>
    <mergeCell ref="A465:J465"/>
    <mergeCell ref="C466:H466"/>
    <mergeCell ref="C467:H467"/>
    <mergeCell ref="A468:J468"/>
    <mergeCell ref="C481:H481"/>
    <mergeCell ref="C482:H482"/>
    <mergeCell ref="A483:J483"/>
    <mergeCell ref="C484:H484"/>
    <mergeCell ref="C485:H485"/>
    <mergeCell ref="A486:J486"/>
    <mergeCell ref="C475:H475"/>
    <mergeCell ref="C476:H476"/>
    <mergeCell ref="A477:J477"/>
    <mergeCell ref="C478:H478"/>
    <mergeCell ref="C479:H479"/>
    <mergeCell ref="A480:J480"/>
    <mergeCell ref="C542:H542"/>
    <mergeCell ref="C543:H543"/>
    <mergeCell ref="C544:H544"/>
    <mergeCell ref="C545:H545"/>
    <mergeCell ref="C546:H546"/>
    <mergeCell ref="C547:H547"/>
    <mergeCell ref="C548:H548"/>
    <mergeCell ref="C549:H549"/>
    <mergeCell ref="C550:H550"/>
    <mergeCell ref="C493:H493"/>
    <mergeCell ref="C494:H494"/>
    <mergeCell ref="C540:H540"/>
    <mergeCell ref="C541:H541"/>
    <mergeCell ref="C487:H487"/>
    <mergeCell ref="C488:H488"/>
    <mergeCell ref="A489:J489"/>
    <mergeCell ref="C490:H490"/>
    <mergeCell ref="C491:H491"/>
    <mergeCell ref="A492:J492"/>
    <mergeCell ref="C507:H507"/>
    <mergeCell ref="C506:H506"/>
    <mergeCell ref="C505:H505"/>
    <mergeCell ref="C539:H539"/>
    <mergeCell ref="C495:H495"/>
    <mergeCell ref="C498:H498"/>
    <mergeCell ref="C499:H499"/>
    <mergeCell ref="C500:H500"/>
    <mergeCell ref="C501:H501"/>
    <mergeCell ref="C502:H502"/>
    <mergeCell ref="C503:H503"/>
    <mergeCell ref="C496:H496"/>
    <mergeCell ref="C497:H497"/>
    <mergeCell ref="C508:H508"/>
    <mergeCell ref="C587:H587"/>
    <mergeCell ref="C588:H588"/>
    <mergeCell ref="C589:H589"/>
    <mergeCell ref="C590:H590"/>
    <mergeCell ref="C591:H591"/>
    <mergeCell ref="C592:H592"/>
    <mergeCell ref="C584:H584"/>
    <mergeCell ref="C585:H585"/>
    <mergeCell ref="C586:H586"/>
    <mergeCell ref="C599:H599"/>
    <mergeCell ref="C600:H600"/>
    <mergeCell ref="C601:H601"/>
    <mergeCell ref="C602:H602"/>
    <mergeCell ref="C603:H603"/>
    <mergeCell ref="C604:H604"/>
    <mergeCell ref="C593:H593"/>
    <mergeCell ref="C594:H594"/>
    <mergeCell ref="C595:H595"/>
    <mergeCell ref="C596:H596"/>
    <mergeCell ref="C597:H597"/>
    <mergeCell ref="C598:H598"/>
    <mergeCell ref="C611:H611"/>
    <mergeCell ref="C612:H612"/>
    <mergeCell ref="C613:H613"/>
    <mergeCell ref="C614:H614"/>
    <mergeCell ref="C615:H615"/>
    <mergeCell ref="C616:H616"/>
    <mergeCell ref="C605:H605"/>
    <mergeCell ref="C606:H606"/>
    <mergeCell ref="C607:H607"/>
    <mergeCell ref="C608:H608"/>
    <mergeCell ref="C609:H609"/>
    <mergeCell ref="C610:H610"/>
    <mergeCell ref="C623:H623"/>
    <mergeCell ref="C624:H624"/>
    <mergeCell ref="C625:H625"/>
    <mergeCell ref="C626:H626"/>
    <mergeCell ref="C627:H627"/>
    <mergeCell ref="C628:H628"/>
    <mergeCell ref="C617:H617"/>
    <mergeCell ref="C618:H618"/>
    <mergeCell ref="C619:H619"/>
    <mergeCell ref="C620:H620"/>
    <mergeCell ref="C621:H621"/>
    <mergeCell ref="C622:H622"/>
    <mergeCell ref="C635:H635"/>
    <mergeCell ref="C636:H636"/>
    <mergeCell ref="C637:H637"/>
    <mergeCell ref="C638:H638"/>
    <mergeCell ref="C639:H639"/>
    <mergeCell ref="C640:H640"/>
    <mergeCell ref="C629:H629"/>
    <mergeCell ref="C630:H630"/>
    <mergeCell ref="C631:H631"/>
    <mergeCell ref="C632:H632"/>
    <mergeCell ref="C633:H633"/>
    <mergeCell ref="C634:H634"/>
    <mergeCell ref="C647:H647"/>
    <mergeCell ref="C648:H648"/>
    <mergeCell ref="C649:H649"/>
    <mergeCell ref="C650:H650"/>
    <mergeCell ref="C651:H651"/>
    <mergeCell ref="C652:H652"/>
    <mergeCell ref="C641:H641"/>
    <mergeCell ref="C642:H642"/>
    <mergeCell ref="C643:H643"/>
    <mergeCell ref="C644:H644"/>
    <mergeCell ref="C645:H645"/>
    <mergeCell ref="C646:H646"/>
    <mergeCell ref="C659:H659"/>
    <mergeCell ref="C660:H660"/>
    <mergeCell ref="C661:H661"/>
    <mergeCell ref="C662:H662"/>
    <mergeCell ref="C663:H663"/>
    <mergeCell ref="C664:H664"/>
    <mergeCell ref="C653:H653"/>
    <mergeCell ref="C654:H654"/>
    <mergeCell ref="C655:H655"/>
    <mergeCell ref="C656:H656"/>
    <mergeCell ref="C657:H657"/>
    <mergeCell ref="C658:H658"/>
    <mergeCell ref="C671:H671"/>
    <mergeCell ref="C672:H672"/>
    <mergeCell ref="C673:H673"/>
    <mergeCell ref="C674:H674"/>
    <mergeCell ref="C675:H675"/>
    <mergeCell ref="C676:H676"/>
    <mergeCell ref="C665:H665"/>
    <mergeCell ref="C666:H666"/>
    <mergeCell ref="C667:H667"/>
    <mergeCell ref="C668:H668"/>
    <mergeCell ref="C669:H669"/>
    <mergeCell ref="C670:H670"/>
    <mergeCell ref="C683:H683"/>
    <mergeCell ref="C684:H684"/>
    <mergeCell ref="C685:H685"/>
    <mergeCell ref="C686:H686"/>
    <mergeCell ref="C687:H687"/>
    <mergeCell ref="C688:H688"/>
    <mergeCell ref="C677:H677"/>
    <mergeCell ref="C678:H678"/>
    <mergeCell ref="C679:H679"/>
    <mergeCell ref="C680:H680"/>
    <mergeCell ref="C681:H681"/>
    <mergeCell ref="C682:H682"/>
    <mergeCell ref="C695:H695"/>
    <mergeCell ref="C696:H696"/>
    <mergeCell ref="C697:H697"/>
    <mergeCell ref="C698:H698"/>
    <mergeCell ref="C699:H699"/>
    <mergeCell ref="C700:H700"/>
    <mergeCell ref="C689:H689"/>
    <mergeCell ref="C690:H690"/>
    <mergeCell ref="C691:H691"/>
    <mergeCell ref="C692:H692"/>
    <mergeCell ref="C693:H693"/>
    <mergeCell ref="C694:H694"/>
    <mergeCell ref="C707:H707"/>
    <mergeCell ref="C708:H708"/>
    <mergeCell ref="C709:H709"/>
    <mergeCell ref="C710:H710"/>
    <mergeCell ref="C711:H711"/>
    <mergeCell ref="C712:H712"/>
    <mergeCell ref="C701:H701"/>
    <mergeCell ref="C702:H702"/>
    <mergeCell ref="C703:H703"/>
    <mergeCell ref="C704:H704"/>
    <mergeCell ref="C705:H705"/>
    <mergeCell ref="C706:H706"/>
    <mergeCell ref="C725:H725"/>
    <mergeCell ref="C726:H726"/>
    <mergeCell ref="C727:H727"/>
    <mergeCell ref="C743:H743"/>
    <mergeCell ref="C744:H744"/>
    <mergeCell ref="C745:H745"/>
    <mergeCell ref="C746:H746"/>
    <mergeCell ref="C737:H737"/>
    <mergeCell ref="C738:H738"/>
    <mergeCell ref="C739:H739"/>
    <mergeCell ref="C740:H740"/>
    <mergeCell ref="C741:H741"/>
    <mergeCell ref="C742:H742"/>
    <mergeCell ref="C749:H749"/>
    <mergeCell ref="C750:H750"/>
    <mergeCell ref="C751:H751"/>
    <mergeCell ref="C752:H752"/>
    <mergeCell ref="C753:H753"/>
    <mergeCell ref="C747:H747"/>
    <mergeCell ref="C748:H748"/>
    <mergeCell ref="C728:H728"/>
    <mergeCell ref="C729:H729"/>
    <mergeCell ref="C730:H730"/>
    <mergeCell ref="C731:H731"/>
    <mergeCell ref="C732:H732"/>
    <mergeCell ref="C733:H733"/>
    <mergeCell ref="C734:H734"/>
    <mergeCell ref="C735:H735"/>
    <mergeCell ref="C736:H736"/>
    <mergeCell ref="C719:H719"/>
    <mergeCell ref="C720:H720"/>
    <mergeCell ref="C721:H721"/>
    <mergeCell ref="C722:H722"/>
    <mergeCell ref="C723:H723"/>
    <mergeCell ref="C724:H724"/>
    <mergeCell ref="C713:H713"/>
    <mergeCell ref="C714:H714"/>
    <mergeCell ref="C715:H715"/>
    <mergeCell ref="C716:H716"/>
    <mergeCell ref="C717:H717"/>
    <mergeCell ref="C718:H718"/>
    <mergeCell ref="C126:H126"/>
    <mergeCell ref="C127:H127"/>
    <mergeCell ref="C128:H128"/>
    <mergeCell ref="C361:H361"/>
    <mergeCell ref="C362:H362"/>
    <mergeCell ref="C67:H67"/>
    <mergeCell ref="C360:H360"/>
    <mergeCell ref="C256:H256"/>
    <mergeCell ref="C272:H272"/>
    <mergeCell ref="C261:H261"/>
    <mergeCell ref="C264:H264"/>
    <mergeCell ref="C265:H265"/>
    <mergeCell ref="C266:H266"/>
    <mergeCell ref="C267:H267"/>
    <mergeCell ref="C268:H268"/>
    <mergeCell ref="C269:H269"/>
    <mergeCell ref="C270:H270"/>
    <mergeCell ref="C271:H271"/>
    <mergeCell ref="C263:H263"/>
    <mergeCell ref="C262:H262"/>
    <mergeCell ref="C255:H255"/>
    <mergeCell ref="C292:H292"/>
    <mergeCell ref="C293:H293"/>
    <mergeCell ref="C303:H303"/>
    <mergeCell ref="C376:H376"/>
    <mergeCell ref="C377:H377"/>
    <mergeCell ref="C366:H366"/>
    <mergeCell ref="C367:H367"/>
    <mergeCell ref="C368:H368"/>
    <mergeCell ref="C369:H369"/>
    <mergeCell ref="C370:H370"/>
    <mergeCell ref="C371:H371"/>
    <mergeCell ref="C372:H372"/>
    <mergeCell ref="C373:H373"/>
    <mergeCell ref="C374:H374"/>
    <mergeCell ref="K294:O294"/>
    <mergeCell ref="A295:J295"/>
    <mergeCell ref="C294:H294"/>
    <mergeCell ref="C296:H296"/>
    <mergeCell ref="C297:H297"/>
    <mergeCell ref="K297:O297"/>
    <mergeCell ref="A298:J298"/>
    <mergeCell ref="C302:H302"/>
    <mergeCell ref="C375:H375"/>
    <mergeCell ref="C363:H363"/>
    <mergeCell ref="C364:H364"/>
    <mergeCell ref="C365:H365"/>
    <mergeCell ref="C352:H352"/>
    <mergeCell ref="C345:H345"/>
    <mergeCell ref="C346:H346"/>
    <mergeCell ref="C347:H347"/>
    <mergeCell ref="C355:H355"/>
    <mergeCell ref="C359:H359"/>
    <mergeCell ref="C348:H348"/>
    <mergeCell ref="C339:H339"/>
    <mergeCell ref="C340:H340"/>
    <mergeCell ref="C338:H338"/>
    <mergeCell ref="K314:O314"/>
    <mergeCell ref="C309:H309"/>
    <mergeCell ref="K312:O312"/>
    <mergeCell ref="A313:J313"/>
    <mergeCell ref="A314:J314"/>
    <mergeCell ref="C311:H311"/>
    <mergeCell ref="K311:O311"/>
    <mergeCell ref="K304:O304"/>
    <mergeCell ref="A305:J305"/>
    <mergeCell ref="A306:J306"/>
    <mergeCell ref="K306:O306"/>
    <mergeCell ref="C304:H304"/>
    <mergeCell ref="A307:J307"/>
    <mergeCell ref="C310:H310"/>
    <mergeCell ref="C312:H312"/>
  </mergeCells>
  <phoneticPr fontId="15" type="noConversion"/>
  <pageMargins left="0.511811024" right="0.511811024" top="0.78740157499999996" bottom="0.78740157499999996" header="0.31496062000000002" footer="0.31496062000000002"/>
  <pageSetup paperSize="9" scale="57" orientation="portrait" r:id="rId1"/>
  <rowBreaks count="6" manualBreakCount="6">
    <brk id="73" max="9" man="1"/>
    <brk id="153" max="9" man="1"/>
    <brk id="233" max="9" man="1"/>
    <brk id="315" max="9" man="1"/>
    <brk id="378" max="9" man="1"/>
    <brk id="521" max="9" man="1"/>
  </rowBreaks>
  <colBreaks count="1" manualBreakCount="1">
    <brk id="10"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D6A2-8E09-4D06-9E12-CFDDA336EB03}">
  <dimension ref="A1:BD25"/>
  <sheetViews>
    <sheetView view="pageBreakPreview" zoomScale="85" zoomScaleNormal="100" zoomScaleSheetLayoutView="85" workbookViewId="0">
      <selection sqref="A1:XFD1048576"/>
    </sheetView>
  </sheetViews>
  <sheetFormatPr defaultColWidth="9.140625" defaultRowHeight="15" x14ac:dyDescent="0.25"/>
  <cols>
    <col min="1" max="1" width="15.42578125" style="94" customWidth="1"/>
    <col min="2" max="2" width="9.140625" style="94"/>
    <col min="3" max="3" width="3.42578125" style="94" bestFit="1" customWidth="1"/>
    <col min="4" max="4" width="2.42578125" style="94" bestFit="1" customWidth="1"/>
    <col min="5" max="5" width="6.5703125" style="94" bestFit="1" customWidth="1"/>
    <col min="6" max="6" width="2" style="418" bestFit="1" customWidth="1"/>
    <col min="7" max="7" width="8.140625" style="418" customWidth="1"/>
    <col min="8" max="8" width="2" style="418" bestFit="1" customWidth="1"/>
    <col min="9" max="9" width="6.5703125" style="418" bestFit="1" customWidth="1"/>
    <col min="10" max="10" width="2" style="418" bestFit="1" customWidth="1"/>
    <col min="11" max="11" width="6.5703125" style="418" bestFit="1" customWidth="1"/>
    <col min="12" max="12" width="2.7109375" style="418" bestFit="1" customWidth="1"/>
    <col min="13" max="13" width="1.7109375" style="94" bestFit="1" customWidth="1"/>
    <col min="14" max="14" width="6.5703125" style="94" bestFit="1" customWidth="1"/>
    <col min="15" max="15" width="2" style="94" bestFit="1" customWidth="1"/>
    <col min="16" max="16" width="6.5703125" style="94" bestFit="1" customWidth="1"/>
    <col min="17" max="17" width="2.7109375" style="94" bestFit="1" customWidth="1"/>
    <col min="18" max="18" width="1.7109375" style="94" bestFit="1" customWidth="1"/>
    <col min="19" max="19" width="6.5703125" style="94" bestFit="1" customWidth="1"/>
    <col min="20" max="20" width="2" style="94" bestFit="1" customWidth="1"/>
    <col min="21" max="21" width="6.5703125" style="94" bestFit="1" customWidth="1"/>
    <col min="22" max="22" width="2.42578125" style="94" bestFit="1" customWidth="1"/>
    <col min="23" max="23" width="2.42578125" style="94" customWidth="1"/>
    <col min="24" max="24" width="2.7109375" style="94" bestFit="1" customWidth="1"/>
    <col min="25" max="25" width="2" style="94" bestFit="1" customWidth="1"/>
    <col min="26" max="26" width="10" style="94" customWidth="1"/>
    <col min="27" max="27" width="7.42578125" style="94" customWidth="1"/>
    <col min="28" max="28" width="2" style="94" hidden="1" customWidth="1"/>
    <col min="29" max="31" width="9.140625" style="94"/>
    <col min="32" max="32" width="96" style="94" hidden="1" customWidth="1"/>
    <col min="33" max="37" width="6.140625" style="94" hidden="1" customWidth="1"/>
    <col min="38" max="38" width="0" style="94" hidden="1" customWidth="1"/>
    <col min="39" max="39" width="96" style="94" hidden="1" customWidth="1"/>
    <col min="40" max="45" width="0" style="94" hidden="1" customWidth="1"/>
    <col min="46" max="46" width="96" style="94" hidden="1" customWidth="1"/>
    <col min="47" max="51" width="0" style="94" hidden="1" customWidth="1"/>
    <col min="52" max="16384" width="9.140625" style="94"/>
  </cols>
  <sheetData>
    <row r="1" spans="1:56" ht="57" customHeight="1" thickBot="1" x14ac:dyDescent="0.3">
      <c r="A1" s="484" t="s">
        <v>2</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6"/>
      <c r="AB1" s="68">
        <v>1</v>
      </c>
      <c r="AF1" s="94" t="s">
        <v>178</v>
      </c>
      <c r="AG1" s="383">
        <v>0.04</v>
      </c>
      <c r="AH1" s="384">
        <v>8.0000000000000002E-3</v>
      </c>
      <c r="AI1" s="384">
        <v>1.2699999999999999E-2</v>
      </c>
      <c r="AJ1" s="384">
        <v>1.23E-2</v>
      </c>
      <c r="AK1" s="384">
        <v>7.3999999999999996E-2</v>
      </c>
      <c r="AL1" s="384"/>
      <c r="AM1" s="94" t="s">
        <v>178</v>
      </c>
      <c r="AN1" s="384">
        <v>0.03</v>
      </c>
      <c r="AO1" s="384">
        <v>8.0000000000000002E-3</v>
      </c>
      <c r="AP1" s="384">
        <v>9.7000000000000003E-3</v>
      </c>
      <c r="AQ1" s="384">
        <v>5.8999999999999999E-3</v>
      </c>
      <c r="AR1" s="384">
        <v>6.1600000000000002E-2</v>
      </c>
      <c r="AS1" s="384"/>
      <c r="AT1" s="94" t="s">
        <v>178</v>
      </c>
      <c r="AU1" s="384">
        <v>5.5E-2</v>
      </c>
      <c r="AV1" s="384">
        <v>0.01</v>
      </c>
      <c r="AW1" s="384">
        <v>1.2699999999999999E-2</v>
      </c>
      <c r="AX1" s="384">
        <v>1.3899999999999999E-2</v>
      </c>
      <c r="AY1" s="384">
        <v>8.9599999999999999E-2</v>
      </c>
      <c r="AZ1" s="384"/>
      <c r="BA1" s="384"/>
      <c r="BB1" s="384"/>
      <c r="BC1" s="384"/>
      <c r="BD1" s="384"/>
    </row>
    <row r="2" spans="1:56" x14ac:dyDescent="0.25">
      <c r="A2" s="261" t="s">
        <v>110</v>
      </c>
      <c r="B2" s="262" t="s">
        <v>111</v>
      </c>
      <c r="C2" s="54"/>
      <c r="D2" s="54"/>
      <c r="E2" s="54"/>
      <c r="F2" s="54"/>
      <c r="G2" s="54"/>
      <c r="H2" s="54"/>
      <c r="I2" s="54"/>
      <c r="J2" s="54"/>
      <c r="K2" s="54"/>
      <c r="L2" s="54"/>
      <c r="M2" s="54"/>
      <c r="N2" s="54"/>
      <c r="O2" s="54"/>
      <c r="P2" s="54"/>
      <c r="Q2" s="54"/>
      <c r="R2" s="54"/>
      <c r="S2" s="487" t="str">
        <f>[2]Resumo!C2</f>
        <v>PLANILHA MODELO:</v>
      </c>
      <c r="T2" s="487"/>
      <c r="U2" s="487"/>
      <c r="V2" s="487"/>
      <c r="W2" s="487"/>
      <c r="X2" s="487"/>
      <c r="Y2" s="54"/>
      <c r="Z2" s="488" t="s">
        <v>569</v>
      </c>
      <c r="AA2" s="489"/>
      <c r="AB2" s="68"/>
      <c r="AF2" s="385" t="s">
        <v>179</v>
      </c>
      <c r="AG2" s="383">
        <v>4.0099999999999997E-2</v>
      </c>
      <c r="AH2" s="384">
        <v>4.0000000000000001E-3</v>
      </c>
      <c r="AI2" s="384">
        <v>5.5999999999999999E-3</v>
      </c>
      <c r="AJ2" s="384">
        <v>1.11E-2</v>
      </c>
      <c r="AK2" s="384">
        <v>7.2999999999999995E-2</v>
      </c>
      <c r="AL2" s="384"/>
      <c r="AM2" s="385" t="s">
        <v>179</v>
      </c>
      <c r="AN2" s="384">
        <v>3.7999999999999999E-2</v>
      </c>
      <c r="AO2" s="384">
        <v>3.2000000000000002E-3</v>
      </c>
      <c r="AP2" s="384">
        <v>5.0000000000000001E-3</v>
      </c>
      <c r="AQ2" s="384">
        <v>1.0200000000000001E-2</v>
      </c>
      <c r="AR2" s="384">
        <v>6.6400000000000001E-2</v>
      </c>
      <c r="AS2" s="384"/>
      <c r="AT2" s="385" t="s">
        <v>179</v>
      </c>
      <c r="AU2" s="384">
        <v>4.6699999999999998E-2</v>
      </c>
      <c r="AV2" s="384">
        <v>7.4000000000000003E-3</v>
      </c>
      <c r="AW2" s="384">
        <v>9.7000000000000003E-3</v>
      </c>
      <c r="AX2" s="384">
        <v>1.21E-2</v>
      </c>
      <c r="AY2" s="384">
        <v>8.6900000000000005E-2</v>
      </c>
      <c r="AZ2" s="384"/>
      <c r="BA2" s="384"/>
      <c r="BB2" s="384"/>
      <c r="BC2" s="384"/>
      <c r="BD2" s="384"/>
    </row>
    <row r="3" spans="1:56" x14ac:dyDescent="0.25">
      <c r="A3" s="266" t="s">
        <v>113</v>
      </c>
      <c r="B3" s="267" t="s">
        <v>114</v>
      </c>
      <c r="C3" s="52"/>
      <c r="D3" s="52"/>
      <c r="E3" s="52"/>
      <c r="F3" s="52"/>
      <c r="G3" s="52"/>
      <c r="H3" s="52"/>
      <c r="I3" s="52"/>
      <c r="J3" s="52"/>
      <c r="K3" s="52"/>
      <c r="L3" s="52"/>
      <c r="M3" s="52"/>
      <c r="N3" s="52"/>
      <c r="O3" s="52"/>
      <c r="P3" s="52"/>
      <c r="Q3" s="52"/>
      <c r="R3" s="52"/>
      <c r="S3" s="490" t="str">
        <f>[2]Resumo!C3</f>
        <v>NÃO DESONERADA</v>
      </c>
      <c r="T3" s="490"/>
      <c r="U3" s="490"/>
      <c r="V3" s="490"/>
      <c r="W3" s="490"/>
      <c r="X3" s="490"/>
      <c r="Y3" s="52"/>
      <c r="Z3" s="491" t="s">
        <v>829</v>
      </c>
      <c r="AA3" s="492"/>
      <c r="AB3" s="68"/>
      <c r="AF3" s="94" t="s">
        <v>180</v>
      </c>
      <c r="AG3" s="383">
        <v>4.9299999999999997E-2</v>
      </c>
      <c r="AH3" s="384">
        <v>4.8999999999999998E-3</v>
      </c>
      <c r="AI3" s="384">
        <v>1.3899999999999999E-2</v>
      </c>
      <c r="AJ3" s="384">
        <v>9.9000000000000008E-3</v>
      </c>
      <c r="AK3" s="384">
        <v>8.0399999999999999E-2</v>
      </c>
      <c r="AL3" s="384"/>
      <c r="AM3" s="94" t="s">
        <v>180</v>
      </c>
      <c r="AN3" s="384">
        <v>3.4299999999999997E-2</v>
      </c>
      <c r="AO3" s="384">
        <v>2.8E-3</v>
      </c>
      <c r="AP3" s="384">
        <v>0.01</v>
      </c>
      <c r="AQ3" s="384">
        <v>9.4000000000000004E-3</v>
      </c>
      <c r="AR3" s="384">
        <v>6.7400000000000002E-2</v>
      </c>
      <c r="AS3" s="384"/>
      <c r="AT3" s="94" t="s">
        <v>180</v>
      </c>
      <c r="AU3" s="384">
        <v>6.7100000000000007E-2</v>
      </c>
      <c r="AV3" s="384">
        <v>7.4999999999999997E-3</v>
      </c>
      <c r="AW3" s="384">
        <v>1.7399999999999999E-2</v>
      </c>
      <c r="AX3" s="384">
        <v>1.17E-2</v>
      </c>
      <c r="AY3" s="384">
        <v>9.4E-2</v>
      </c>
      <c r="AZ3" s="384"/>
      <c r="BA3" s="384"/>
      <c r="BB3" s="384"/>
      <c r="BC3" s="384"/>
      <c r="BD3" s="384"/>
    </row>
    <row r="4" spans="1:56" ht="15.75" thickBot="1" x14ac:dyDescent="0.3">
      <c r="A4" s="271" t="s">
        <v>115</v>
      </c>
      <c r="B4" s="272" t="s">
        <v>867</v>
      </c>
      <c r="C4" s="53"/>
      <c r="D4" s="53"/>
      <c r="E4" s="53"/>
      <c r="F4" s="53"/>
      <c r="G4" s="53"/>
      <c r="H4" s="53"/>
      <c r="I4" s="53"/>
      <c r="J4" s="53"/>
      <c r="K4" s="53"/>
      <c r="L4" s="53"/>
      <c r="M4" s="53"/>
      <c r="N4" s="53"/>
      <c r="O4" s="53"/>
      <c r="P4" s="53"/>
      <c r="Q4" s="53"/>
      <c r="R4" s="53"/>
      <c r="S4" s="481" t="s">
        <v>181</v>
      </c>
      <c r="T4" s="481"/>
      <c r="U4" s="481"/>
      <c r="V4" s="481"/>
      <c r="W4" s="481"/>
      <c r="X4" s="481"/>
      <c r="Y4" s="53"/>
      <c r="Z4" s="482"/>
      <c r="AA4" s="483"/>
      <c r="AB4" s="68"/>
      <c r="AF4" s="385" t="s">
        <v>182</v>
      </c>
      <c r="AG4" s="383">
        <v>5.9200000000000003E-2</v>
      </c>
      <c r="AH4" s="384">
        <v>5.1000000000000004E-3</v>
      </c>
      <c r="AI4" s="384">
        <v>1.4800000000000001E-2</v>
      </c>
      <c r="AJ4" s="384">
        <v>1.0699999999999999E-2</v>
      </c>
      <c r="AK4" s="384">
        <v>8.3099999999999993E-2</v>
      </c>
      <c r="AL4" s="384"/>
      <c r="AM4" s="385" t="s">
        <v>182</v>
      </c>
      <c r="AN4" s="384">
        <v>5.2900000000000003E-2</v>
      </c>
      <c r="AO4" s="384">
        <v>2.5000000000000001E-3</v>
      </c>
      <c r="AP4" s="384">
        <v>0.01</v>
      </c>
      <c r="AQ4" s="384">
        <v>1.01E-2</v>
      </c>
      <c r="AR4" s="384">
        <v>0.08</v>
      </c>
      <c r="AS4" s="384"/>
      <c r="AT4" s="385" t="s">
        <v>182</v>
      </c>
      <c r="AU4" s="384">
        <v>7.9299999999999995E-2</v>
      </c>
      <c r="AV4" s="384">
        <v>5.5999999999999999E-3</v>
      </c>
      <c r="AW4" s="384">
        <v>1.9699999999999999E-2</v>
      </c>
      <c r="AX4" s="384">
        <v>1.11E-2</v>
      </c>
      <c r="AY4" s="384">
        <v>9.5100000000000004E-2</v>
      </c>
      <c r="AZ4" s="384"/>
      <c r="BA4" s="384"/>
      <c r="BB4" s="384"/>
      <c r="BC4" s="384"/>
      <c r="BD4" s="384"/>
    </row>
    <row r="5" spans="1:56" ht="15.75" thickBot="1" x14ac:dyDescent="0.3">
      <c r="A5" s="493" t="s">
        <v>178</v>
      </c>
      <c r="B5" s="494"/>
      <c r="C5" s="494"/>
      <c r="D5" s="494"/>
      <c r="E5" s="494"/>
      <c r="F5" s="494"/>
      <c r="G5" s="494"/>
      <c r="H5" s="494"/>
      <c r="I5" s="494"/>
      <c r="J5" s="494"/>
      <c r="K5" s="494"/>
      <c r="L5" s="494"/>
      <c r="M5" s="494"/>
      <c r="N5" s="494"/>
      <c r="O5" s="494"/>
      <c r="P5" s="494"/>
      <c r="Q5" s="494"/>
      <c r="R5" s="494"/>
      <c r="S5" s="494"/>
      <c r="T5" s="494"/>
      <c r="U5" s="494"/>
      <c r="V5" s="494"/>
      <c r="W5" s="494"/>
      <c r="X5" s="494"/>
      <c r="Y5" s="494"/>
      <c r="Z5" s="494"/>
      <c r="AA5" s="495"/>
      <c r="AB5" s="68"/>
      <c r="AF5" s="385" t="s">
        <v>183</v>
      </c>
      <c r="AG5" s="383">
        <v>5.5199999999999999E-2</v>
      </c>
      <c r="AH5" s="384">
        <v>1.2200000000000001E-2</v>
      </c>
      <c r="AI5" s="384">
        <v>2.3199999999999998E-2</v>
      </c>
      <c r="AJ5" s="384">
        <v>1.0200000000000001E-2</v>
      </c>
      <c r="AK5" s="384">
        <v>8.4000000000000005E-2</v>
      </c>
      <c r="AL5" s="384"/>
      <c r="AM5" s="385" t="s">
        <v>183</v>
      </c>
      <c r="AN5" s="384">
        <v>0.04</v>
      </c>
      <c r="AO5" s="384">
        <v>8.0999999999999996E-3</v>
      </c>
      <c r="AP5" s="384">
        <v>1.46E-2</v>
      </c>
      <c r="AQ5" s="384">
        <v>9.4000000000000004E-3</v>
      </c>
      <c r="AR5" s="384">
        <v>7.1400000000000005E-2</v>
      </c>
      <c r="AS5" s="384"/>
      <c r="AT5" s="385" t="s">
        <v>183</v>
      </c>
      <c r="AU5" s="384">
        <v>7.85E-2</v>
      </c>
      <c r="AV5" s="384">
        <v>1.9900000000000001E-2</v>
      </c>
      <c r="AW5" s="384">
        <v>3.1600000000000003E-2</v>
      </c>
      <c r="AX5" s="384">
        <v>1.3299999999999999E-2</v>
      </c>
      <c r="AY5" s="384">
        <v>0.1043</v>
      </c>
      <c r="AZ5" s="384"/>
      <c r="BA5" s="384"/>
      <c r="BB5" s="384"/>
      <c r="BC5" s="384"/>
      <c r="BD5" s="384"/>
    </row>
    <row r="6" spans="1:56" x14ac:dyDescent="0.25">
      <c r="A6" s="386"/>
      <c r="B6" s="387"/>
      <c r="C6" s="387"/>
      <c r="D6" s="387"/>
      <c r="E6" s="387"/>
      <c r="F6" s="388"/>
      <c r="G6" s="388"/>
      <c r="H6" s="388"/>
      <c r="I6" s="388"/>
      <c r="J6" s="388"/>
      <c r="K6" s="388"/>
      <c r="L6" s="388"/>
      <c r="M6" s="387"/>
      <c r="N6" s="387"/>
      <c r="O6" s="387"/>
      <c r="P6" s="387"/>
      <c r="Q6" s="387"/>
      <c r="R6" s="387"/>
      <c r="S6" s="387"/>
      <c r="T6" s="387"/>
      <c r="U6" s="387"/>
      <c r="V6" s="387"/>
      <c r="W6" s="387"/>
      <c r="X6" s="387"/>
      <c r="Y6" s="387"/>
      <c r="Z6" s="387"/>
      <c r="AA6" s="389"/>
      <c r="AB6" s="68"/>
      <c r="AF6" s="94" t="s">
        <v>184</v>
      </c>
      <c r="AG6" s="384">
        <v>4.9299999999999997E-2</v>
      </c>
      <c r="AH6" s="384">
        <v>4.8999999999999998E-3</v>
      </c>
      <c r="AI6" s="384">
        <v>1.3899999999999999E-2</v>
      </c>
      <c r="AJ6" s="384">
        <v>9.9000000000000008E-3</v>
      </c>
      <c r="AK6" s="384">
        <v>8.0399999999999999E-2</v>
      </c>
      <c r="AM6" s="94" t="s">
        <v>184</v>
      </c>
      <c r="AN6" s="384">
        <v>4.9299999999999997E-2</v>
      </c>
      <c r="AO6" s="384">
        <v>4.8999999999999998E-3</v>
      </c>
      <c r="AP6" s="384">
        <v>1.3899999999999999E-2</v>
      </c>
      <c r="AQ6" s="384">
        <v>9.9000000000000008E-3</v>
      </c>
      <c r="AR6" s="384">
        <v>8.0399999999999999E-2</v>
      </c>
      <c r="AT6" s="94" t="s">
        <v>184</v>
      </c>
      <c r="AU6" s="384">
        <v>4.9299999999999997E-2</v>
      </c>
      <c r="AV6" s="384">
        <v>4.8999999999999998E-3</v>
      </c>
      <c r="AW6" s="384">
        <v>1.3899999999999999E-2</v>
      </c>
      <c r="AX6" s="384">
        <v>9.9000000000000008E-3</v>
      </c>
      <c r="AY6" s="384">
        <v>8.0399999999999999E-2</v>
      </c>
    </row>
    <row r="7" spans="1:56" x14ac:dyDescent="0.25">
      <c r="A7" s="390" t="s">
        <v>185</v>
      </c>
      <c r="B7" s="391" t="s">
        <v>186</v>
      </c>
      <c r="C7" s="392"/>
      <c r="D7" s="393"/>
      <c r="E7" s="393"/>
      <c r="F7" s="394"/>
      <c r="G7" s="395">
        <f>IF($S$4="QUARTIL MÉDIO",VLOOKUP($A$5,$AF$1:$AK$6,2,0),IF($S$4="PRIMEIRO QUARTIL",VLOOKUP($A$5,$AM$1:$AR$6,2,0),IF($S$4="TERCEIRO QUARTIL",VLOOKUP($A$5,$AT$1:$AY$6,2,0))))</f>
        <v>0.03</v>
      </c>
      <c r="H7" s="394"/>
      <c r="I7" s="394"/>
      <c r="J7" s="394"/>
      <c r="K7" s="393"/>
      <c r="L7" s="394"/>
      <c r="M7" s="393"/>
      <c r="N7" s="393"/>
      <c r="O7" s="393"/>
      <c r="P7" s="393"/>
      <c r="Q7" s="393"/>
      <c r="R7" s="393"/>
      <c r="S7" s="393"/>
      <c r="T7" s="393"/>
      <c r="U7" s="393"/>
      <c r="V7" s="393"/>
      <c r="W7" s="393"/>
      <c r="X7" s="393"/>
      <c r="Y7" s="393"/>
      <c r="Z7" s="393"/>
      <c r="AA7" s="396"/>
      <c r="AB7" s="68"/>
    </row>
    <row r="8" spans="1:56" ht="18.75" customHeight="1" x14ac:dyDescent="0.25">
      <c r="A8" s="390" t="s">
        <v>187</v>
      </c>
      <c r="B8" s="391" t="s">
        <v>188</v>
      </c>
      <c r="C8" s="392"/>
      <c r="D8" s="393"/>
      <c r="E8" s="393"/>
      <c r="F8" s="394"/>
      <c r="G8" s="395">
        <f>IF($S$4="QUARTIL MÉDIO",VLOOKUP($A$5,$AF$1:$AK$6,3,0),IF($S$4="PRIMEIRO QUARTIL",VLOOKUP($A$5,$AM$1:$AR$6,3,0),IF($S$4="TERCEIRO QUARTIL",VLOOKUP($A$5,$AT$1:$AY$6,3,0))))</f>
        <v>8.0000000000000002E-3</v>
      </c>
      <c r="H8" s="394"/>
      <c r="I8" s="394"/>
      <c r="J8" s="394"/>
      <c r="K8" s="393"/>
      <c r="L8" s="394"/>
      <c r="M8" s="393"/>
      <c r="N8" s="393"/>
      <c r="O8" s="393"/>
      <c r="P8" s="393"/>
      <c r="Q8" s="393"/>
      <c r="R8" s="393"/>
      <c r="S8" s="393"/>
      <c r="T8" s="393"/>
      <c r="U8" s="393"/>
      <c r="V8" s="393"/>
      <c r="W8" s="393"/>
      <c r="X8" s="393"/>
      <c r="Y8" s="393"/>
      <c r="Z8" s="393"/>
      <c r="AA8" s="396"/>
      <c r="AB8" s="68"/>
      <c r="AG8" s="94" t="s">
        <v>189</v>
      </c>
      <c r="AN8" s="94" t="s">
        <v>190</v>
      </c>
      <c r="AU8" s="94" t="s">
        <v>191</v>
      </c>
    </row>
    <row r="9" spans="1:56" ht="18.75" customHeight="1" x14ac:dyDescent="0.25">
      <c r="A9" s="390" t="s">
        <v>192</v>
      </c>
      <c r="B9" s="391" t="s">
        <v>193</v>
      </c>
      <c r="C9" s="392"/>
      <c r="D9" s="393"/>
      <c r="E9" s="393"/>
      <c r="F9" s="394"/>
      <c r="G9" s="395">
        <f>IF($S$4="QUARTIL MÉDIO",VLOOKUP($A$5,$AF$1:$AK$6,4,0),IF($S$4="PRIMEIRO QUARTIL",VLOOKUP($A$5,$AM$1:$AR$6,4,0),IF($S$4="TERCEIRO QUARTIL",VLOOKUP($A$5,$AT$1:$AY$6,4,0))))</f>
        <v>9.7000000000000003E-3</v>
      </c>
      <c r="H9" s="394"/>
      <c r="I9" s="394"/>
      <c r="J9" s="394"/>
      <c r="K9" s="393"/>
      <c r="L9" s="394"/>
      <c r="M9" s="393"/>
      <c r="N9" s="393"/>
      <c r="O9" s="393"/>
      <c r="P9" s="393"/>
      <c r="Q9" s="393"/>
      <c r="R9" s="393"/>
      <c r="S9" s="393"/>
      <c r="T9" s="393"/>
      <c r="U9" s="393"/>
      <c r="V9" s="393"/>
      <c r="W9" s="393"/>
      <c r="X9" s="393"/>
      <c r="Y9" s="393"/>
      <c r="Z9" s="393"/>
      <c r="AA9" s="396"/>
      <c r="AB9" s="68"/>
      <c r="AG9" s="94" t="s">
        <v>194</v>
      </c>
      <c r="AH9" s="94" t="s">
        <v>195</v>
      </c>
      <c r="AI9" s="94" t="s">
        <v>196</v>
      </c>
      <c r="AJ9" s="94" t="s">
        <v>197</v>
      </c>
      <c r="AK9" s="94" t="s">
        <v>198</v>
      </c>
      <c r="AN9" s="94" t="s">
        <v>194</v>
      </c>
      <c r="AO9" s="94" t="s">
        <v>195</v>
      </c>
      <c r="AP9" s="94" t="s">
        <v>196</v>
      </c>
      <c r="AQ9" s="94" t="s">
        <v>197</v>
      </c>
      <c r="AR9" s="94" t="s">
        <v>198</v>
      </c>
      <c r="AU9" s="94" t="s">
        <v>194</v>
      </c>
      <c r="AV9" s="94" t="s">
        <v>195</v>
      </c>
      <c r="AW9" s="94" t="s">
        <v>196</v>
      </c>
      <c r="AX9" s="94" t="s">
        <v>197</v>
      </c>
      <c r="AY9" s="94" t="s">
        <v>198</v>
      </c>
    </row>
    <row r="10" spans="1:56" ht="18.75" customHeight="1" x14ac:dyDescent="0.25">
      <c r="A10" s="390" t="s">
        <v>199</v>
      </c>
      <c r="B10" s="391" t="s">
        <v>200</v>
      </c>
      <c r="C10" s="392"/>
      <c r="D10" s="393"/>
      <c r="E10" s="393"/>
      <c r="F10" s="394"/>
      <c r="G10" s="395">
        <f>IF($S$4="QUARTIL MÉDIO",VLOOKUP($A$5,$AF$1:$AK$6,5,0),IF($S$4="PRIMEIRO QUARTIL",VLOOKUP($A$5,$AM$1:$AR$6,5,0),IF($S$4="TERCEIRO QUARTIL",VLOOKUP($A$5,$AT$1:$AY$6,5,0))))</f>
        <v>5.8999999999999999E-3</v>
      </c>
      <c r="H10" s="394"/>
      <c r="I10" s="394"/>
      <c r="J10" s="394"/>
      <c r="K10" s="393"/>
      <c r="L10" s="394"/>
      <c r="M10" s="393"/>
      <c r="N10" s="393"/>
      <c r="O10" s="393"/>
      <c r="P10" s="393"/>
      <c r="Q10" s="393"/>
      <c r="R10" s="393"/>
      <c r="S10" s="393"/>
      <c r="T10" s="393"/>
      <c r="U10" s="393"/>
      <c r="V10" s="393"/>
      <c r="W10" s="393"/>
      <c r="X10" s="393"/>
      <c r="Y10" s="393"/>
      <c r="Z10" s="393"/>
      <c r="AA10" s="396"/>
      <c r="AB10" s="68"/>
    </row>
    <row r="11" spans="1:56" ht="18.75" customHeight="1" x14ac:dyDescent="0.25">
      <c r="A11" s="390" t="s">
        <v>201</v>
      </c>
      <c r="B11" s="391" t="s">
        <v>202</v>
      </c>
      <c r="C11" s="392"/>
      <c r="D11" s="393"/>
      <c r="E11" s="393"/>
      <c r="F11" s="394"/>
      <c r="G11" s="395">
        <f>IF($S$4="QUARTIL MÉDIO",VLOOKUP($A$5,$AF$1:$AK$6,6,0),IF($S$4="PRIMEIRO QUARTIL",VLOOKUP($A$5,$AM$1:$AR$6,6,0),IF($S$4="TERCEIRO QUARTIL",VLOOKUP($A$5,$AT$1:$AY$6,6,0))))</f>
        <v>6.1600000000000002E-2</v>
      </c>
      <c r="H11" s="394"/>
      <c r="I11" s="394"/>
      <c r="J11" s="394"/>
      <c r="K11" s="393"/>
      <c r="L11" s="394"/>
      <c r="M11" s="393"/>
      <c r="N11" s="393"/>
      <c r="O11" s="393"/>
      <c r="P11" s="393"/>
      <c r="Q11" s="393"/>
      <c r="R11" s="393"/>
      <c r="S11" s="393"/>
      <c r="T11" s="393"/>
      <c r="U11" s="393"/>
      <c r="V11" s="393"/>
      <c r="W11" s="393"/>
      <c r="X11" s="393"/>
      <c r="Y11" s="393"/>
      <c r="Z11" s="393"/>
      <c r="AA11" s="396"/>
      <c r="AB11" s="68"/>
      <c r="AK11" s="384"/>
    </row>
    <row r="12" spans="1:56" ht="18.75" customHeight="1" x14ac:dyDescent="0.25">
      <c r="A12" s="390" t="s">
        <v>203</v>
      </c>
      <c r="B12" s="391" t="s">
        <v>204</v>
      </c>
      <c r="C12" s="392"/>
      <c r="D12" s="393"/>
      <c r="E12" s="393"/>
      <c r="F12" s="394"/>
      <c r="G12" s="395">
        <f>SUM(G13:G16)</f>
        <v>8.6499999999999994E-2</v>
      </c>
      <c r="H12" s="394"/>
      <c r="I12" s="394"/>
      <c r="J12" s="394"/>
      <c r="K12" s="393"/>
      <c r="L12" s="394"/>
      <c r="M12" s="393"/>
      <c r="N12" s="393"/>
      <c r="O12" s="393"/>
      <c r="P12" s="393"/>
      <c r="Q12" s="393"/>
      <c r="R12" s="393"/>
      <c r="S12" s="393"/>
      <c r="T12" s="393"/>
      <c r="U12" s="393"/>
      <c r="V12" s="393"/>
      <c r="W12" s="393"/>
      <c r="X12" s="393"/>
      <c r="Y12" s="393"/>
      <c r="Z12" s="393"/>
      <c r="AA12" s="396"/>
      <c r="AB12" s="68"/>
      <c r="AK12" s="384"/>
    </row>
    <row r="13" spans="1:56" x14ac:dyDescent="0.25">
      <c r="A13" s="397"/>
      <c r="B13" s="398"/>
      <c r="C13" s="399"/>
      <c r="D13" s="398"/>
      <c r="E13" s="398" t="s">
        <v>205</v>
      </c>
      <c r="F13" s="400"/>
      <c r="G13" s="401">
        <v>0.03</v>
      </c>
      <c r="H13" s="400"/>
      <c r="I13" s="400"/>
      <c r="J13" s="400"/>
      <c r="K13" s="398"/>
      <c r="L13" s="400"/>
      <c r="M13" s="398"/>
      <c r="N13" s="398"/>
      <c r="O13" s="398"/>
      <c r="P13" s="398"/>
      <c r="Q13" s="398"/>
      <c r="R13" s="398"/>
      <c r="S13" s="398"/>
      <c r="T13" s="398"/>
      <c r="U13" s="398"/>
      <c r="V13" s="398"/>
      <c r="W13" s="398"/>
      <c r="X13" s="398"/>
      <c r="Y13" s="398"/>
      <c r="Z13" s="398"/>
      <c r="AA13" s="402"/>
      <c r="AB13" s="68"/>
      <c r="AK13" s="384"/>
    </row>
    <row r="14" spans="1:56" x14ac:dyDescent="0.25">
      <c r="A14" s="397"/>
      <c r="B14" s="398"/>
      <c r="C14" s="399"/>
      <c r="D14" s="398"/>
      <c r="E14" s="398" t="s">
        <v>206</v>
      </c>
      <c r="F14" s="400"/>
      <c r="G14" s="401">
        <v>6.4999999999999997E-3</v>
      </c>
      <c r="H14" s="400"/>
      <c r="I14" s="400"/>
      <c r="J14" s="400"/>
      <c r="K14" s="398"/>
      <c r="L14" s="400"/>
      <c r="M14" s="398"/>
      <c r="N14" s="398"/>
      <c r="O14" s="398"/>
      <c r="P14" s="398"/>
      <c r="Q14" s="398"/>
      <c r="R14" s="398"/>
      <c r="S14" s="398"/>
      <c r="T14" s="398"/>
      <c r="U14" s="398"/>
      <c r="V14" s="398"/>
      <c r="W14" s="398"/>
      <c r="X14" s="398"/>
      <c r="Y14" s="398"/>
      <c r="Z14" s="398"/>
      <c r="AA14" s="402"/>
      <c r="AB14" s="68"/>
      <c r="AK14" s="384"/>
    </row>
    <row r="15" spans="1:56" x14ac:dyDescent="0.25">
      <c r="A15" s="397"/>
      <c r="B15" s="398"/>
      <c r="C15" s="399"/>
      <c r="D15" s="398"/>
      <c r="E15" s="398" t="s">
        <v>207</v>
      </c>
      <c r="F15" s="400"/>
      <c r="G15" s="401">
        <v>0.05</v>
      </c>
      <c r="H15" s="400"/>
      <c r="I15" s="400"/>
      <c r="J15" s="400"/>
      <c r="K15" s="398"/>
      <c r="L15" s="400"/>
      <c r="M15" s="398"/>
      <c r="N15" s="398"/>
      <c r="O15" s="398"/>
      <c r="P15" s="398"/>
      <c r="Q15" s="398"/>
      <c r="R15" s="398"/>
      <c r="S15" s="398"/>
      <c r="T15" s="398"/>
      <c r="U15" s="398"/>
      <c r="V15" s="398"/>
      <c r="W15" s="398"/>
      <c r="X15" s="398"/>
      <c r="Y15" s="398"/>
      <c r="Z15" s="398"/>
      <c r="AA15" s="402"/>
      <c r="AB15" s="68"/>
      <c r="AK15" s="384"/>
    </row>
    <row r="16" spans="1:56" x14ac:dyDescent="0.25">
      <c r="A16" s="397"/>
      <c r="B16" s="398"/>
      <c r="C16" s="399"/>
      <c r="D16" s="398"/>
      <c r="E16" s="398" t="s">
        <v>208</v>
      </c>
      <c r="F16" s="400"/>
      <c r="G16" s="401">
        <f>IF([2]Resumo!C3=[2]Resumo!N1,0,0.045)</f>
        <v>0</v>
      </c>
      <c r="H16" s="400"/>
      <c r="I16" s="400"/>
      <c r="J16" s="400"/>
      <c r="K16" s="398"/>
      <c r="L16" s="400"/>
      <c r="M16" s="398"/>
      <c r="N16" s="398"/>
      <c r="O16" s="398"/>
      <c r="P16" s="398"/>
      <c r="Q16" s="398"/>
      <c r="R16" s="398"/>
      <c r="S16" s="398"/>
      <c r="T16" s="398"/>
      <c r="U16" s="398"/>
      <c r="V16" s="398"/>
      <c r="W16" s="398"/>
      <c r="X16" s="398"/>
      <c r="Y16" s="398"/>
      <c r="Z16" s="398"/>
      <c r="AA16" s="402"/>
      <c r="AB16" s="68"/>
      <c r="AK16" s="384"/>
    </row>
    <row r="17" spans="1:28" ht="18.75" customHeight="1" x14ac:dyDescent="0.25">
      <c r="A17" s="390"/>
      <c r="B17" s="393"/>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6"/>
      <c r="AB17" s="68"/>
    </row>
    <row r="18" spans="1:28" ht="18.75" customHeight="1" x14ac:dyDescent="0.25">
      <c r="A18" s="390"/>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6"/>
      <c r="AB18" s="68"/>
    </row>
    <row r="19" spans="1:28" ht="18.75" customHeight="1" x14ac:dyDescent="0.25">
      <c r="A19" s="390"/>
      <c r="B19" s="393"/>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6"/>
      <c r="AB19" s="68"/>
    </row>
    <row r="20" spans="1:28" ht="18.75" customHeight="1" x14ac:dyDescent="0.25">
      <c r="A20" s="390"/>
      <c r="B20" s="393"/>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6"/>
      <c r="AB20" s="68"/>
    </row>
    <row r="21" spans="1:28" ht="18.75" customHeight="1" x14ac:dyDescent="0.25">
      <c r="A21" s="390"/>
      <c r="B21" s="403" t="s">
        <v>209</v>
      </c>
      <c r="C21" s="496" t="s">
        <v>210</v>
      </c>
      <c r="D21" s="404" t="s">
        <v>211</v>
      </c>
      <c r="E21" s="405">
        <v>1</v>
      </c>
      <c r="F21" s="404" t="s">
        <v>212</v>
      </c>
      <c r="G21" s="405">
        <f>G7</f>
        <v>0.03</v>
      </c>
      <c r="H21" s="404" t="s">
        <v>212</v>
      </c>
      <c r="I21" s="405">
        <f>G8</f>
        <v>8.0000000000000002E-3</v>
      </c>
      <c r="J21" s="404" t="s">
        <v>212</v>
      </c>
      <c r="K21" s="405">
        <f>G9</f>
        <v>9.7000000000000003E-3</v>
      </c>
      <c r="L21" s="403" t="s">
        <v>213</v>
      </c>
      <c r="M21" s="403" t="s">
        <v>214</v>
      </c>
      <c r="N21" s="405">
        <v>1</v>
      </c>
      <c r="O21" s="403" t="s">
        <v>212</v>
      </c>
      <c r="P21" s="405">
        <f>G10</f>
        <v>5.8999999999999999E-3</v>
      </c>
      <c r="Q21" s="403" t="s">
        <v>213</v>
      </c>
      <c r="R21" s="403" t="s">
        <v>214</v>
      </c>
      <c r="S21" s="405">
        <v>1</v>
      </c>
      <c r="T21" s="403" t="s">
        <v>212</v>
      </c>
      <c r="U21" s="405">
        <f>G11</f>
        <v>6.1600000000000002E-2</v>
      </c>
      <c r="V21" s="403" t="s">
        <v>215</v>
      </c>
      <c r="W21" s="496" t="s">
        <v>216</v>
      </c>
      <c r="X21" s="497">
        <v>-1</v>
      </c>
      <c r="Y21" s="498" t="s">
        <v>217</v>
      </c>
      <c r="Z21" s="499">
        <f>ROUND((((E21+G21+I21+K21)*(N21+P21)*(S21+U21))/(N23-P23))-1,4)</f>
        <v>0.22470000000000001</v>
      </c>
      <c r="AA21" s="396"/>
      <c r="AB21" s="68"/>
    </row>
    <row r="22" spans="1:28" ht="3.75" customHeight="1" x14ac:dyDescent="0.25">
      <c r="A22" s="390"/>
      <c r="B22" s="393"/>
      <c r="C22" s="496"/>
      <c r="D22" s="500"/>
      <c r="E22" s="500"/>
      <c r="F22" s="500"/>
      <c r="G22" s="500"/>
      <c r="H22" s="500"/>
      <c r="I22" s="500"/>
      <c r="J22" s="500"/>
      <c r="K22" s="500"/>
      <c r="L22" s="500"/>
      <c r="M22" s="500"/>
      <c r="N22" s="500"/>
      <c r="O22" s="500"/>
      <c r="P22" s="500"/>
      <c r="Q22" s="500"/>
      <c r="R22" s="500"/>
      <c r="S22" s="500"/>
      <c r="T22" s="500"/>
      <c r="U22" s="500"/>
      <c r="V22" s="500"/>
      <c r="W22" s="496"/>
      <c r="X22" s="497"/>
      <c r="Y22" s="498"/>
      <c r="Z22" s="499"/>
      <c r="AA22" s="396"/>
      <c r="AB22" s="68"/>
    </row>
    <row r="23" spans="1:28" s="413" customFormat="1" ht="18.75" customHeight="1" x14ac:dyDescent="0.25">
      <c r="A23" s="406"/>
      <c r="B23" s="407"/>
      <c r="C23" s="496"/>
      <c r="D23" s="408"/>
      <c r="E23" s="408"/>
      <c r="F23" s="408"/>
      <c r="G23" s="408"/>
      <c r="H23" s="408"/>
      <c r="I23" s="408"/>
      <c r="J23" s="408"/>
      <c r="K23" s="409"/>
      <c r="L23" s="409"/>
      <c r="M23" s="408" t="s">
        <v>214</v>
      </c>
      <c r="N23" s="410">
        <v>1</v>
      </c>
      <c r="O23" s="409" t="s">
        <v>7</v>
      </c>
      <c r="P23" s="410">
        <f>G12</f>
        <v>8.6499999999999994E-2</v>
      </c>
      <c r="Q23" s="409" t="s">
        <v>218</v>
      </c>
      <c r="R23" s="409"/>
      <c r="S23" s="409"/>
      <c r="T23" s="409"/>
      <c r="U23" s="409"/>
      <c r="V23" s="409"/>
      <c r="W23" s="496"/>
      <c r="X23" s="497"/>
      <c r="Y23" s="498"/>
      <c r="Z23" s="499"/>
      <c r="AA23" s="411"/>
      <c r="AB23" s="412"/>
    </row>
    <row r="24" spans="1:28" ht="18.75" customHeight="1" x14ac:dyDescent="0.25">
      <c r="A24" s="390"/>
      <c r="B24" s="393"/>
      <c r="C24" s="393"/>
      <c r="D24" s="393"/>
      <c r="E24" s="393"/>
      <c r="F24" s="394"/>
      <c r="G24" s="394"/>
      <c r="H24" s="394"/>
      <c r="I24" s="394"/>
      <c r="J24" s="394"/>
      <c r="K24" s="394"/>
      <c r="L24" s="394"/>
      <c r="M24" s="393"/>
      <c r="N24" s="393"/>
      <c r="O24" s="393"/>
      <c r="P24" s="393"/>
      <c r="Q24" s="393"/>
      <c r="R24" s="393"/>
      <c r="S24" s="393"/>
      <c r="T24" s="393"/>
      <c r="U24" s="393"/>
      <c r="V24" s="393"/>
      <c r="W24" s="393"/>
      <c r="X24" s="393"/>
      <c r="Y24" s="393"/>
      <c r="Z24" s="393"/>
      <c r="AA24" s="396"/>
      <c r="AB24" s="68"/>
    </row>
    <row r="25" spans="1:28" ht="15.75" thickBot="1" x14ac:dyDescent="0.3">
      <c r="A25" s="414" t="s">
        <v>219</v>
      </c>
      <c r="B25" s="415"/>
      <c r="C25" s="415"/>
      <c r="D25" s="415"/>
      <c r="E25" s="415"/>
      <c r="F25" s="416"/>
      <c r="G25" s="416"/>
      <c r="H25" s="416"/>
      <c r="I25" s="416"/>
      <c r="J25" s="416"/>
      <c r="K25" s="416"/>
      <c r="L25" s="416"/>
      <c r="M25" s="415"/>
      <c r="N25" s="415"/>
      <c r="O25" s="415"/>
      <c r="P25" s="415"/>
      <c r="Q25" s="415"/>
      <c r="R25" s="415"/>
      <c r="S25" s="415"/>
      <c r="T25" s="415"/>
      <c r="U25" s="415"/>
      <c r="V25" s="415"/>
      <c r="W25" s="415"/>
      <c r="X25" s="415"/>
      <c r="Y25" s="415"/>
      <c r="Z25" s="415"/>
      <c r="AA25" s="417"/>
      <c r="AB25" s="68"/>
    </row>
  </sheetData>
  <mergeCells count="14">
    <mergeCell ref="A5:AA5"/>
    <mergeCell ref="C21:C23"/>
    <mergeCell ref="W21:W23"/>
    <mergeCell ref="X21:X23"/>
    <mergeCell ref="Y21:Y23"/>
    <mergeCell ref="Z21:Z23"/>
    <mergeCell ref="D22:V22"/>
    <mergeCell ref="S4:X4"/>
    <mergeCell ref="Z4:AA4"/>
    <mergeCell ref="A1:AA1"/>
    <mergeCell ref="S2:X2"/>
    <mergeCell ref="Z2:AA2"/>
    <mergeCell ref="S3:X3"/>
    <mergeCell ref="Z3:AA3"/>
  </mergeCells>
  <conditionalFormatting sqref="B4">
    <cfRule type="expression" dxfId="41" priority="1">
      <formula>B4=""</formula>
    </cfRule>
  </conditionalFormatting>
  <dataValidations count="2">
    <dataValidation type="list" allowBlank="1" showInputMessage="1" showErrorMessage="1" sqref="A5:AA5" xr:uid="{5EB22A1F-0DDD-4FC9-8BAE-DCF7B98FEE4D}">
      <formula1>$AF$1:$AF$6</formula1>
    </dataValidation>
    <dataValidation type="list" allowBlank="1" showInputMessage="1" showErrorMessage="1" sqref="S4:X4" xr:uid="{638B5A82-3017-4022-8E79-73766AEC93F6}">
      <formula1>"PRIMEIRO QUARTIL, QUARTIL MÉDIO, TERCEIRO QUARTIL"</formula1>
    </dataValidation>
  </dataValidations>
  <pageMargins left="0.511811024" right="0.511811024" top="0.78740157499999996" bottom="0.78740157499999996" header="0.31496062000000002" footer="0.31496062000000002"/>
  <pageSetup paperSize="9" scale="7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0E58A-C4AA-49EF-9B1D-4679D3C4489A}">
  <dimension ref="A1:P335"/>
  <sheetViews>
    <sheetView view="pageBreakPreview" zoomScale="85" zoomScaleNormal="70" zoomScaleSheetLayoutView="85" workbookViewId="0">
      <selection sqref="A1:XFD1048576"/>
    </sheetView>
  </sheetViews>
  <sheetFormatPr defaultRowHeight="15" x14ac:dyDescent="0.25"/>
  <cols>
    <col min="1" max="1" width="20.85546875" style="37" customWidth="1"/>
    <col min="2" max="2" width="19.42578125" style="37" customWidth="1"/>
    <col min="3" max="3" width="21.140625" style="37" customWidth="1"/>
    <col min="4" max="4" width="82.5703125" style="37" customWidth="1"/>
    <col min="5" max="5" width="11.85546875" style="37" customWidth="1"/>
    <col min="6" max="6" width="12.28515625" style="235" customWidth="1"/>
    <col min="7" max="7" width="19.5703125" style="105" customWidth="1"/>
    <col min="8" max="8" width="26" style="105" customWidth="1"/>
    <col min="9" max="9" width="22.140625" style="135" bestFit="1" customWidth="1"/>
    <col min="10" max="16384" width="9.140625" style="37"/>
  </cols>
  <sheetData>
    <row r="1" spans="1:16" s="68" customFormat="1" ht="81" customHeight="1" thickBot="1" x14ac:dyDescent="0.3">
      <c r="A1" s="434" t="s">
        <v>653</v>
      </c>
      <c r="B1" s="435"/>
      <c r="C1" s="435"/>
      <c r="D1" s="435"/>
      <c r="E1" s="435"/>
      <c r="F1" s="435"/>
      <c r="G1" s="435"/>
      <c r="H1" s="436"/>
      <c r="I1" s="159"/>
      <c r="M1" s="61"/>
      <c r="N1" s="143"/>
      <c r="O1" s="61"/>
      <c r="P1" s="144"/>
    </row>
    <row r="2" spans="1:16" s="68" customFormat="1" ht="21.75" customHeight="1" x14ac:dyDescent="0.25">
      <c r="A2" s="48" t="s">
        <v>220</v>
      </c>
      <c r="B2" s="95" t="s">
        <v>111</v>
      </c>
      <c r="C2" s="96"/>
      <c r="D2" s="28"/>
      <c r="E2" s="29"/>
      <c r="F2" s="227"/>
      <c r="G2" s="29"/>
      <c r="H2" s="97">
        <f>BDI!$Z$21</f>
        <v>0.22470000000000001</v>
      </c>
      <c r="I2" s="160"/>
      <c r="M2" s="92"/>
      <c r="N2" s="143"/>
      <c r="O2" s="61"/>
      <c r="P2" s="144"/>
    </row>
    <row r="3" spans="1:16" s="68" customFormat="1" ht="18.75" customHeight="1" x14ac:dyDescent="0.25">
      <c r="A3" s="49" t="s">
        <v>221</v>
      </c>
      <c r="B3" s="127" t="s">
        <v>114</v>
      </c>
      <c r="C3" s="128"/>
      <c r="D3" s="129"/>
      <c r="E3" s="130"/>
      <c r="F3" s="228"/>
      <c r="G3" s="130"/>
      <c r="H3" s="98" t="str">
        <f>Resumo!D3</f>
        <v>REV_04</v>
      </c>
      <c r="I3" s="160"/>
      <c r="M3" s="92"/>
      <c r="N3" s="143"/>
      <c r="O3" s="61"/>
      <c r="P3" s="144"/>
    </row>
    <row r="4" spans="1:16" s="68" customFormat="1" ht="19.5" customHeight="1" thickBot="1" x14ac:dyDescent="0.3">
      <c r="A4" s="50" t="s">
        <v>80</v>
      </c>
      <c r="B4" s="99" t="s">
        <v>867</v>
      </c>
      <c r="C4" s="30"/>
      <c r="D4" s="31"/>
      <c r="E4" s="32"/>
      <c r="F4" s="229"/>
      <c r="G4" s="32"/>
      <c r="H4" s="100" t="s">
        <v>1023</v>
      </c>
      <c r="I4" s="160"/>
      <c r="M4" s="92"/>
      <c r="N4" s="143"/>
      <c r="O4" s="61"/>
      <c r="P4" s="144"/>
    </row>
    <row r="5" spans="1:16" s="68" customFormat="1" ht="15.75" thickBot="1" x14ac:dyDescent="0.3">
      <c r="A5" s="51"/>
      <c r="B5" s="40"/>
      <c r="C5" s="40"/>
      <c r="D5" s="40"/>
      <c r="E5" s="40"/>
      <c r="F5" s="230"/>
      <c r="G5" s="40"/>
      <c r="H5" s="41"/>
      <c r="I5" s="161"/>
      <c r="M5" s="61" t="str">
        <f>UPPER(TRIM(B5))</f>
        <v/>
      </c>
      <c r="N5" s="143" t="str">
        <f>UPPER(TRIM(D5))</f>
        <v/>
      </c>
      <c r="O5" s="61" t="str">
        <f>UPPER(TRIM(E5))</f>
        <v/>
      </c>
      <c r="P5" s="144"/>
    </row>
    <row r="6" spans="1:16" s="1" customFormat="1" ht="40.5" customHeight="1" thickBot="1" x14ac:dyDescent="0.3">
      <c r="A6" s="106" t="s">
        <v>82</v>
      </c>
      <c r="B6" s="107" t="s">
        <v>654</v>
      </c>
      <c r="C6" s="108" t="s">
        <v>655</v>
      </c>
      <c r="D6" s="108" t="s">
        <v>83</v>
      </c>
      <c r="E6" s="109" t="s">
        <v>144</v>
      </c>
      <c r="F6" s="231" t="s">
        <v>276</v>
      </c>
      <c r="G6" s="109" t="s">
        <v>656</v>
      </c>
      <c r="H6" s="110" t="s">
        <v>658</v>
      </c>
      <c r="I6" s="162"/>
      <c r="L6" s="2"/>
    </row>
    <row r="7" spans="1:16" s="68" customFormat="1" x14ac:dyDescent="0.25">
      <c r="A7" s="101"/>
      <c r="B7" s="102"/>
      <c r="C7" s="102"/>
      <c r="D7" s="102"/>
      <c r="E7" s="102"/>
      <c r="F7" s="232"/>
      <c r="G7" s="103"/>
      <c r="H7" s="104"/>
      <c r="I7" s="135"/>
    </row>
    <row r="8" spans="1:16" ht="30" x14ac:dyDescent="0.25">
      <c r="A8" s="59" t="str">
        <f>'Orçamento '!A28</f>
        <v>3.3</v>
      </c>
      <c r="B8" s="131" t="str">
        <f>'Orçamento '!$B$28</f>
        <v>TJMMG-CP-01</v>
      </c>
      <c r="C8" s="131" t="str">
        <f>'Orçamento '!$C$28</f>
        <v>PRÓPRIO</v>
      </c>
      <c r="D8" s="132" t="str">
        <f>'Orçamento '!$D$28</f>
        <v>DEMOLIÇÃO MANUAL DE DIVISÓRIA DE DRYWALL, INCLUSIVE AFASTAMENTO E EMPILHAMENTO, EXCLUSIVE TRANSPORTE E RETIRADA DO MATERIAL DEMOLIDO</v>
      </c>
      <c r="E8" s="131" t="s">
        <v>107</v>
      </c>
      <c r="F8" s="233">
        <v>1</v>
      </c>
      <c r="G8" s="65">
        <f>SUM(H9:H10)</f>
        <v>11.025973826000001</v>
      </c>
      <c r="H8" s="66">
        <f>G8*F8</f>
        <v>11.025973826000001</v>
      </c>
    </row>
    <row r="9" spans="1:16" x14ac:dyDescent="0.25">
      <c r="A9" s="60"/>
      <c r="B9" s="133" t="s">
        <v>282</v>
      </c>
      <c r="C9" s="61" t="s">
        <v>17</v>
      </c>
      <c r="D9" s="134" t="s">
        <v>39</v>
      </c>
      <c r="E9" s="61" t="s">
        <v>105</v>
      </c>
      <c r="F9" s="234">
        <v>0.15277779999999999</v>
      </c>
      <c r="G9" s="62">
        <v>31.35</v>
      </c>
      <c r="H9" s="63">
        <f>G9*F9</f>
        <v>4.7895840300000003</v>
      </c>
    </row>
    <row r="10" spans="1:16" x14ac:dyDescent="0.25">
      <c r="A10" s="60"/>
      <c r="B10" s="133" t="s">
        <v>299</v>
      </c>
      <c r="C10" s="61" t="s">
        <v>17</v>
      </c>
      <c r="D10" s="134" t="s">
        <v>77</v>
      </c>
      <c r="E10" s="61" t="s">
        <v>105</v>
      </c>
      <c r="F10" s="234">
        <v>0.30555559999999998</v>
      </c>
      <c r="G10" s="62">
        <v>20.41</v>
      </c>
      <c r="H10" s="63">
        <f>G10*F10</f>
        <v>6.2363897960000001</v>
      </c>
    </row>
    <row r="11" spans="1:16" ht="29.25" customHeight="1" x14ac:dyDescent="0.25">
      <c r="A11" s="501" t="s">
        <v>713</v>
      </c>
      <c r="B11" s="502"/>
      <c r="C11" s="502"/>
      <c r="D11" s="502"/>
      <c r="E11" s="502"/>
      <c r="F11" s="502"/>
      <c r="G11" s="502"/>
      <c r="H11" s="503"/>
    </row>
    <row r="12" spans="1:16" s="68" customFormat="1" x14ac:dyDescent="0.25">
      <c r="A12" s="60"/>
      <c r="B12" s="61"/>
      <c r="C12" s="61"/>
      <c r="D12" s="61"/>
      <c r="E12" s="61"/>
      <c r="F12" s="234"/>
      <c r="G12" s="62"/>
      <c r="H12" s="63"/>
      <c r="I12" s="135"/>
    </row>
    <row r="13" spans="1:16" ht="30" x14ac:dyDescent="0.25">
      <c r="A13" s="59" t="str">
        <f>'Orçamento '!A31</f>
        <v>3.6</v>
      </c>
      <c r="B13" s="131" t="str">
        <f>'Orçamento '!$B$31</f>
        <v>TJMMG-CP-02</v>
      </c>
      <c r="C13" s="131" t="str">
        <f>'Orçamento '!$C$31</f>
        <v>PRÓPRIO</v>
      </c>
      <c r="D13" s="132" t="str">
        <f>'Orçamento '!$D$31</f>
        <v xml:space="preserve">REMOÇÃO DE MOBILIÁRIOS: MESAS, CADEIRAS, SOFÁS, ARMÁRIOS, PRATELEIRAS, PERSIANAS, ETC. </v>
      </c>
      <c r="E13" s="131" t="s">
        <v>144</v>
      </c>
      <c r="F13" s="233">
        <v>1</v>
      </c>
      <c r="G13" s="65">
        <f>H14</f>
        <v>20.41</v>
      </c>
      <c r="H13" s="66">
        <f>G13*F13</f>
        <v>20.41</v>
      </c>
    </row>
    <row r="14" spans="1:16" x14ac:dyDescent="0.25">
      <c r="A14" s="60"/>
      <c r="B14" s="133" t="s">
        <v>299</v>
      </c>
      <c r="C14" s="61" t="s">
        <v>17</v>
      </c>
      <c r="D14" s="134" t="s">
        <v>77</v>
      </c>
      <c r="E14" s="61" t="s">
        <v>105</v>
      </c>
      <c r="F14" s="234">
        <v>1</v>
      </c>
      <c r="G14" s="62">
        <v>20.41</v>
      </c>
      <c r="H14" s="63">
        <f>G14*F14</f>
        <v>20.41</v>
      </c>
    </row>
    <row r="15" spans="1:16" s="68" customFormat="1" x14ac:dyDescent="0.25">
      <c r="A15" s="60"/>
      <c r="B15" s="61"/>
      <c r="C15" s="61"/>
      <c r="D15" s="61"/>
      <c r="E15" s="61"/>
      <c r="F15" s="234"/>
      <c r="G15" s="62"/>
      <c r="H15" s="63"/>
      <c r="I15" s="135"/>
    </row>
    <row r="16" spans="1:16" x14ac:dyDescent="0.25">
      <c r="A16" s="59" t="str">
        <f>'Orçamento '!A32</f>
        <v>3.7</v>
      </c>
      <c r="B16" s="131" t="str">
        <f>'Orçamento '!B32</f>
        <v>TJMMG-CP-03</v>
      </c>
      <c r="C16" s="131" t="str">
        <f>'Orçamento '!C32</f>
        <v>PRÓPRIO</v>
      </c>
      <c r="D16" s="132" t="str">
        <f>'Orçamento '!D32</f>
        <v xml:space="preserve">REMANEJAMENTO DE MOBILIÁRIOS PARA TROCA DE PISO </v>
      </c>
      <c r="E16" s="131" t="str">
        <f>'Orçamento '!E32</f>
        <v>UN</v>
      </c>
      <c r="F16" s="233">
        <v>1</v>
      </c>
      <c r="G16" s="65">
        <f>H17</f>
        <v>40.82</v>
      </c>
      <c r="H16" s="66">
        <f>G16*F16</f>
        <v>40.82</v>
      </c>
    </row>
    <row r="17" spans="1:9" x14ac:dyDescent="0.25">
      <c r="A17" s="60"/>
      <c r="B17" s="133" t="s">
        <v>299</v>
      </c>
      <c r="C17" s="61" t="s">
        <v>17</v>
      </c>
      <c r="D17" s="134" t="s">
        <v>77</v>
      </c>
      <c r="E17" s="61" t="s">
        <v>105</v>
      </c>
      <c r="F17" s="234">
        <v>2</v>
      </c>
      <c r="G17" s="62">
        <v>20.41</v>
      </c>
      <c r="H17" s="63">
        <f>G17*F17</f>
        <v>40.82</v>
      </c>
    </row>
    <row r="18" spans="1:9" s="68" customFormat="1" x14ac:dyDescent="0.25">
      <c r="A18" s="60"/>
      <c r="B18" s="61"/>
      <c r="C18" s="61"/>
      <c r="D18" s="61"/>
      <c r="E18" s="61"/>
      <c r="F18" s="234"/>
      <c r="G18" s="62"/>
      <c r="H18" s="63"/>
      <c r="I18" s="135"/>
    </row>
    <row r="19" spans="1:9" x14ac:dyDescent="0.25">
      <c r="A19" s="59" t="str">
        <f>'Orçamento '!A36</f>
        <v>3.11</v>
      </c>
      <c r="B19" s="131" t="str">
        <f>'Orçamento '!B36</f>
        <v>TJMMG-CP-04</v>
      </c>
      <c r="C19" s="131" t="str">
        <f>'Orçamento '!C36</f>
        <v>PRÓPRIO</v>
      </c>
      <c r="D19" s="132" t="str">
        <f>'Orçamento '!D36</f>
        <v>REMOÇÃO DE FECHADURA DA PORTA</v>
      </c>
      <c r="E19" s="131" t="str">
        <f>'Orçamento '!E36</f>
        <v>UN</v>
      </c>
      <c r="F19" s="233">
        <v>1</v>
      </c>
      <c r="G19" s="65">
        <f>SUM(H20:H20)</f>
        <v>55.74</v>
      </c>
      <c r="H19" s="66">
        <f>G19*F19</f>
        <v>55.74</v>
      </c>
    </row>
    <row r="20" spans="1:9" x14ac:dyDescent="0.25">
      <c r="A20" s="60"/>
      <c r="B20" s="133" t="s">
        <v>715</v>
      </c>
      <c r="C20" s="61" t="s">
        <v>17</v>
      </c>
      <c r="D20" s="134" t="s">
        <v>754</v>
      </c>
      <c r="E20" s="61" t="s">
        <v>105</v>
      </c>
      <c r="F20" s="234">
        <v>2</v>
      </c>
      <c r="G20" s="62">
        <v>27.87</v>
      </c>
      <c r="H20" s="63">
        <f t="shared" ref="H20" si="0">G20*F20</f>
        <v>55.74</v>
      </c>
    </row>
    <row r="21" spans="1:9" s="68" customFormat="1" x14ac:dyDescent="0.25">
      <c r="A21" s="60"/>
      <c r="B21" s="61"/>
      <c r="C21" s="61"/>
      <c r="D21" s="61"/>
      <c r="E21" s="61"/>
      <c r="F21" s="234"/>
      <c r="G21" s="62"/>
      <c r="H21" s="63"/>
      <c r="I21" s="135"/>
    </row>
    <row r="22" spans="1:9" s="61" customFormat="1" x14ac:dyDescent="0.25">
      <c r="A22" s="59" t="str">
        <f>'Orçamento '!A41</f>
        <v>4.3</v>
      </c>
      <c r="B22" s="131" t="str">
        <f>'Orçamento '!B41</f>
        <v>TJMMG-CP-05</v>
      </c>
      <c r="C22" s="131" t="str">
        <f>'Orçamento '!C41</f>
        <v>PRÓPRIO</v>
      </c>
      <c r="D22" s="132" t="str">
        <f>'Orçamento '!D41</f>
        <v xml:space="preserve">RECOMPOSIÇÃO DE PAREDE (FURO DE PASSAGEM DO EXAUSTOR) </v>
      </c>
      <c r="E22" s="131" t="str">
        <f>'Orçamento '!E41</f>
        <v xml:space="preserve">UN </v>
      </c>
      <c r="F22" s="233">
        <v>1</v>
      </c>
      <c r="G22" s="65">
        <f>SUM(H23:H27)</f>
        <v>114.10999999999999</v>
      </c>
      <c r="H22" s="66">
        <f>G22*F22</f>
        <v>114.10999999999999</v>
      </c>
      <c r="I22" s="92"/>
    </row>
    <row r="23" spans="1:9" x14ac:dyDescent="0.25">
      <c r="A23" s="60" t="s">
        <v>137</v>
      </c>
      <c r="B23" s="61">
        <v>37595</v>
      </c>
      <c r="C23" s="61" t="s">
        <v>17</v>
      </c>
      <c r="D23" s="134" t="s">
        <v>42</v>
      </c>
      <c r="E23" s="61" t="s">
        <v>98</v>
      </c>
      <c r="F23" s="234">
        <v>5</v>
      </c>
      <c r="G23" s="62">
        <v>2.12</v>
      </c>
      <c r="H23" s="63">
        <f t="shared" ref="H23:H24" si="1">G23*F23</f>
        <v>10.600000000000001</v>
      </c>
      <c r="I23" s="253"/>
    </row>
    <row r="24" spans="1:9" x14ac:dyDescent="0.25">
      <c r="A24" s="60" t="s">
        <v>137</v>
      </c>
      <c r="B24" s="61">
        <v>88309</v>
      </c>
      <c r="C24" s="61" t="s">
        <v>17</v>
      </c>
      <c r="D24" s="61" t="s">
        <v>78</v>
      </c>
      <c r="E24" s="61" t="s">
        <v>105</v>
      </c>
      <c r="F24" s="234">
        <v>1</v>
      </c>
      <c r="G24" s="62">
        <v>28.15</v>
      </c>
      <c r="H24" s="63">
        <f t="shared" si="1"/>
        <v>28.15</v>
      </c>
      <c r="I24" s="253"/>
    </row>
    <row r="25" spans="1:9" x14ac:dyDescent="0.25">
      <c r="A25" s="60" t="s">
        <v>137</v>
      </c>
      <c r="B25" s="61">
        <v>88316</v>
      </c>
      <c r="C25" s="61" t="s">
        <v>17</v>
      </c>
      <c r="D25" s="61" t="s">
        <v>18</v>
      </c>
      <c r="E25" s="61" t="s">
        <v>105</v>
      </c>
      <c r="F25" s="234">
        <v>2</v>
      </c>
      <c r="G25" s="62">
        <v>20.41</v>
      </c>
      <c r="H25" s="63">
        <f>G25*F25</f>
        <v>40.82</v>
      </c>
      <c r="I25" s="253"/>
    </row>
    <row r="26" spans="1:9" ht="30" x14ac:dyDescent="0.25">
      <c r="A26" s="60" t="s">
        <v>137</v>
      </c>
      <c r="B26" s="133" t="s">
        <v>23</v>
      </c>
      <c r="C26" s="61" t="s">
        <v>6</v>
      </c>
      <c r="D26" s="134" t="s">
        <v>24</v>
      </c>
      <c r="E26" s="61" t="s">
        <v>107</v>
      </c>
      <c r="F26" s="234">
        <v>1</v>
      </c>
      <c r="G26" s="62">
        <v>17.77</v>
      </c>
      <c r="H26" s="63">
        <f t="shared" ref="H26:H27" si="2">G26*F26</f>
        <v>17.77</v>
      </c>
    </row>
    <row r="27" spans="1:9" ht="30" x14ac:dyDescent="0.25">
      <c r="A27" s="60" t="s">
        <v>137</v>
      </c>
      <c r="B27" s="133" t="s">
        <v>668</v>
      </c>
      <c r="C27" s="61" t="s">
        <v>6</v>
      </c>
      <c r="D27" s="134" t="s">
        <v>28</v>
      </c>
      <c r="E27" s="61" t="s">
        <v>107</v>
      </c>
      <c r="F27" s="234">
        <v>1</v>
      </c>
      <c r="G27" s="62">
        <v>16.77</v>
      </c>
      <c r="H27" s="63">
        <f t="shared" si="2"/>
        <v>16.77</v>
      </c>
    </row>
    <row r="28" spans="1:9" s="68" customFormat="1" x14ac:dyDescent="0.25">
      <c r="A28" s="60"/>
      <c r="B28" s="61"/>
      <c r="C28" s="61"/>
      <c r="D28" s="61"/>
      <c r="E28" s="61"/>
      <c r="F28" s="234"/>
      <c r="G28" s="62"/>
      <c r="H28" s="63"/>
      <c r="I28" s="135"/>
    </row>
    <row r="29" spans="1:9" s="61" customFormat="1" x14ac:dyDescent="0.25">
      <c r="A29" s="59" t="str">
        <f>'Orçamento '!A46</f>
        <v>5.3</v>
      </c>
      <c r="B29" s="131" t="str">
        <f>'Orçamento '!B46</f>
        <v>TJMMG-CP-06</v>
      </c>
      <c r="C29" s="131" t="str">
        <f>'Orçamento '!C46</f>
        <v>PRÓPRIO</v>
      </c>
      <c r="D29" s="132" t="str">
        <f>'Orçamento '!D46</f>
        <v xml:space="preserve">	INSTALAÇÃO DE REFORÇO DE MADEIRA EM SANCA/CORTINEIRO. AF_06/2017</v>
      </c>
      <c r="E29" s="131" t="str">
        <f>'Orçamento '!E46</f>
        <v>M</v>
      </c>
      <c r="F29" s="233">
        <v>1</v>
      </c>
      <c r="G29" s="65">
        <f>SUM(H30:H33)</f>
        <v>39.065982000000005</v>
      </c>
      <c r="H29" s="66">
        <f>G29*F29</f>
        <v>39.065982000000005</v>
      </c>
      <c r="I29" s="92"/>
    </row>
    <row r="30" spans="1:9" ht="30" x14ac:dyDescent="0.25">
      <c r="A30" s="60" t="s">
        <v>137</v>
      </c>
      <c r="B30" s="61">
        <v>3990</v>
      </c>
      <c r="C30" s="61" t="s">
        <v>17</v>
      </c>
      <c r="D30" s="134" t="s">
        <v>952</v>
      </c>
      <c r="E30" s="61" t="s">
        <v>143</v>
      </c>
      <c r="F30" s="234">
        <v>1.1000000000000001</v>
      </c>
      <c r="G30" s="62">
        <v>30.9</v>
      </c>
      <c r="H30" s="63">
        <f t="shared" ref="H30:H31" si="3">G30*F30</f>
        <v>33.99</v>
      </c>
      <c r="I30" s="253"/>
    </row>
    <row r="31" spans="1:9" ht="30" x14ac:dyDescent="0.25">
      <c r="A31" s="60" t="s">
        <v>137</v>
      </c>
      <c r="B31" s="61">
        <v>39443</v>
      </c>
      <c r="C31" s="61" t="s">
        <v>17</v>
      </c>
      <c r="D31" s="134" t="s">
        <v>953</v>
      </c>
      <c r="E31" s="61" t="s">
        <v>144</v>
      </c>
      <c r="F31" s="234">
        <v>7.6364000000000001</v>
      </c>
      <c r="G31" s="62">
        <v>0.33</v>
      </c>
      <c r="H31" s="63">
        <f t="shared" si="3"/>
        <v>2.5200120000000004</v>
      </c>
      <c r="I31" s="253"/>
    </row>
    <row r="32" spans="1:9" x14ac:dyDescent="0.25">
      <c r="A32" s="60" t="s">
        <v>137</v>
      </c>
      <c r="B32" s="61">
        <v>88278</v>
      </c>
      <c r="C32" s="61" t="s">
        <v>17</v>
      </c>
      <c r="D32" s="61" t="s">
        <v>399</v>
      </c>
      <c r="E32" s="61" t="s">
        <v>105</v>
      </c>
      <c r="F32" s="234">
        <v>8.2000000000000003E-2</v>
      </c>
      <c r="G32" s="62">
        <v>24.45</v>
      </c>
      <c r="H32" s="63">
        <f>G32*F32</f>
        <v>2.0049000000000001</v>
      </c>
      <c r="I32" s="253"/>
    </row>
    <row r="33" spans="1:8" x14ac:dyDescent="0.25">
      <c r="A33" s="60" t="s">
        <v>137</v>
      </c>
      <c r="B33" s="61">
        <v>88316</v>
      </c>
      <c r="C33" s="61" t="s">
        <v>17</v>
      </c>
      <c r="D33" s="134" t="s">
        <v>77</v>
      </c>
      <c r="E33" s="61" t="s">
        <v>105</v>
      </c>
      <c r="F33" s="234">
        <v>2.7E-2</v>
      </c>
      <c r="G33" s="62">
        <v>20.41</v>
      </c>
      <c r="H33" s="63">
        <f t="shared" ref="H33" si="4">G33*F33</f>
        <v>0.55106999999999995</v>
      </c>
    </row>
    <row r="34" spans="1:8" x14ac:dyDescent="0.25">
      <c r="A34" s="60"/>
      <c r="B34" s="133"/>
      <c r="C34" s="61"/>
      <c r="D34" s="134"/>
      <c r="E34" s="61"/>
      <c r="F34" s="234"/>
      <c r="G34" s="62"/>
      <c r="H34" s="63"/>
    </row>
    <row r="35" spans="1:8" ht="30" x14ac:dyDescent="0.25">
      <c r="A35" s="59" t="str">
        <f>'Orçamento '!$A$48</f>
        <v>5.5</v>
      </c>
      <c r="B35" s="131" t="str">
        <f>'Orçamento '!$B$48</f>
        <v>TJMMG-CP-07</v>
      </c>
      <c r="C35" s="131" t="str">
        <f>'Orçamento '!$C$48</f>
        <v>PRÓPRIO</v>
      </c>
      <c r="D35" s="132" t="str">
        <f>'Orçamento '!$D$48</f>
        <v xml:space="preserve"> FORRO MINERAL REMOVÍVEL MODULAR (1250x625x15MM) THERMATEX ANTARIS.
ESTRUTURA APARENTE SK. COR BRANCO. REF. KANUF</v>
      </c>
      <c r="E35" s="131" t="s">
        <v>107</v>
      </c>
      <c r="F35" s="233">
        <v>1</v>
      </c>
      <c r="G35" s="65">
        <f ca="1">SUM(H36:H43)</f>
        <v>168.26153671830986</v>
      </c>
      <c r="H35" s="66">
        <f ca="1">G35*F35</f>
        <v>168.26153671830986</v>
      </c>
    </row>
    <row r="36" spans="1:8" ht="30" x14ac:dyDescent="0.25">
      <c r="A36" s="60"/>
      <c r="B36" s="61">
        <v>39427</v>
      </c>
      <c r="C36" s="61" t="s">
        <v>17</v>
      </c>
      <c r="D36" s="134" t="s">
        <v>395</v>
      </c>
      <c r="E36" s="61" t="s">
        <v>143</v>
      </c>
      <c r="F36" s="234">
        <v>3.851</v>
      </c>
      <c r="G36" s="62">
        <v>5.0199999999999996</v>
      </c>
      <c r="H36" s="63">
        <f>G36*F36</f>
        <v>19.33202</v>
      </c>
    </row>
    <row r="37" spans="1:8" ht="30" x14ac:dyDescent="0.25">
      <c r="A37" s="60"/>
      <c r="B37" s="61">
        <v>39430</v>
      </c>
      <c r="C37" s="61" t="s">
        <v>17</v>
      </c>
      <c r="D37" s="134" t="s">
        <v>396</v>
      </c>
      <c r="E37" s="61" t="s">
        <v>144</v>
      </c>
      <c r="F37" s="234">
        <v>1.3265</v>
      </c>
      <c r="G37" s="62">
        <v>1.89</v>
      </c>
      <c r="H37" s="63">
        <f t="shared" ref="H37:H43" si="5">G37*F37</f>
        <v>2.507085</v>
      </c>
    </row>
    <row r="38" spans="1:8" x14ac:dyDescent="0.25">
      <c r="A38" s="60"/>
      <c r="B38" s="61">
        <v>40547</v>
      </c>
      <c r="C38" s="61" t="s">
        <v>17</v>
      </c>
      <c r="D38" s="134" t="s">
        <v>397</v>
      </c>
      <c r="E38" s="61" t="s">
        <v>398</v>
      </c>
      <c r="F38" s="234">
        <v>1.32E-2</v>
      </c>
      <c r="G38" s="62">
        <v>37.24</v>
      </c>
      <c r="H38" s="63">
        <f t="shared" si="5"/>
        <v>0.491568</v>
      </c>
    </row>
    <row r="39" spans="1:8" ht="30" x14ac:dyDescent="0.25">
      <c r="A39" s="60"/>
      <c r="B39" s="61">
        <v>43131</v>
      </c>
      <c r="C39" s="61" t="s">
        <v>17</v>
      </c>
      <c r="D39" s="134" t="s">
        <v>884</v>
      </c>
      <c r="E39" s="61" t="s">
        <v>98</v>
      </c>
      <c r="F39" s="234">
        <v>4.2599999999999999E-2</v>
      </c>
      <c r="G39" s="62">
        <v>24.86</v>
      </c>
      <c r="H39" s="63">
        <f t="shared" si="5"/>
        <v>1.0590359999999999</v>
      </c>
    </row>
    <row r="40" spans="1:8" x14ac:dyDescent="0.25">
      <c r="A40" s="60"/>
      <c r="B40" s="61">
        <v>88278</v>
      </c>
      <c r="C40" s="61" t="s">
        <v>17</v>
      </c>
      <c r="D40" s="134" t="s">
        <v>399</v>
      </c>
      <c r="E40" s="61" t="s">
        <v>105</v>
      </c>
      <c r="F40" s="234">
        <v>0.36280000000000001</v>
      </c>
      <c r="G40" s="62">
        <v>24.45</v>
      </c>
      <c r="H40" s="63">
        <f t="shared" si="5"/>
        <v>8.8704599999999996</v>
      </c>
    </row>
    <row r="41" spans="1:8" x14ac:dyDescent="0.25">
      <c r="A41" s="60"/>
      <c r="B41" s="61">
        <v>88316</v>
      </c>
      <c r="C41" s="61" t="s">
        <v>17</v>
      </c>
      <c r="D41" s="134" t="s">
        <v>77</v>
      </c>
      <c r="E41" s="61" t="s">
        <v>105</v>
      </c>
      <c r="F41" s="234">
        <v>0.36280000000000001</v>
      </c>
      <c r="G41" s="62">
        <v>20.41</v>
      </c>
      <c r="H41" s="63">
        <f t="shared" si="5"/>
        <v>7.4047480000000006</v>
      </c>
    </row>
    <row r="42" spans="1:8" ht="30" x14ac:dyDescent="0.25">
      <c r="A42" s="60"/>
      <c r="B42" s="133" t="str">
        <f>'COT.'!$A$20</f>
        <v>COT-03</v>
      </c>
      <c r="C42" s="61" t="s">
        <v>19</v>
      </c>
      <c r="D42" s="134" t="str">
        <f>'COT.'!$B$20</f>
        <v xml:space="preserve"> FORRO MINERAL REMOVÍVEL MODULAR (1250x625x15MM) THERMATEX ANTARIS.
ESTRUTURA APARENTE SK. COR BRANCO. REF. KANUF</v>
      </c>
      <c r="E42" s="61" t="s">
        <v>107</v>
      </c>
      <c r="F42" s="234">
        <v>1.1000000000000001</v>
      </c>
      <c r="G42" s="64">
        <f ca="1">'COT.'!$E$20</f>
        <v>107.30601792573623</v>
      </c>
      <c r="H42" s="63">
        <f t="shared" ca="1" si="5"/>
        <v>118.03661971830986</v>
      </c>
    </row>
    <row r="43" spans="1:8" x14ac:dyDescent="0.25">
      <c r="A43" s="60"/>
      <c r="B43" s="133" t="str">
        <f>'COT.'!$A$32</f>
        <v>COT-05</v>
      </c>
      <c r="C43" s="61" t="s">
        <v>19</v>
      </c>
      <c r="D43" s="134" t="str">
        <f>'COT.'!$B$32</f>
        <v>PERFIL PARA FORRO MODULAR AÇO T24 CLICADO 24 X 62,5 MM</v>
      </c>
      <c r="E43" s="61" t="s">
        <v>144</v>
      </c>
      <c r="F43" s="234">
        <v>3.2</v>
      </c>
      <c r="G43" s="64">
        <f ca="1">'COT.'!$E$32</f>
        <v>3.3</v>
      </c>
      <c r="H43" s="91">
        <f t="shared" ca="1" si="5"/>
        <v>10.56</v>
      </c>
    </row>
    <row r="44" spans="1:8" x14ac:dyDescent="0.25">
      <c r="A44" s="60"/>
      <c r="B44" s="133"/>
      <c r="C44" s="61"/>
      <c r="D44" s="134"/>
      <c r="E44" s="61"/>
      <c r="F44" s="234"/>
      <c r="G44" s="64"/>
      <c r="H44" s="91"/>
    </row>
    <row r="45" spans="1:8" ht="30" x14ac:dyDescent="0.25">
      <c r="A45" s="59" t="str">
        <f>'Orçamento '!A$49</f>
        <v>5.6</v>
      </c>
      <c r="B45" s="131" t="str">
        <f>'Orçamento '!B$49</f>
        <v>TJMMG-CP-08</v>
      </c>
      <c r="C45" s="131" t="str">
        <f>'Orçamento '!C$49</f>
        <v>PRÓPRIO</v>
      </c>
      <c r="D45" s="132" t="str">
        <f>'Orçamento '!D$49</f>
        <v>FORRO MINERAL REMOVÍVEL MODULAR (625x625x15MM) AMF TOPIQ PRIME.
ESTRUTURA APARENTE SK. COR BRANCO. REF. KNAUF (OU OWA OPÇÃO BRILLIANTO)</v>
      </c>
      <c r="E45" s="131" t="s">
        <v>107</v>
      </c>
      <c r="F45" s="233">
        <v>1</v>
      </c>
      <c r="G45" s="65">
        <f ca="1">SUM(H46:H53)</f>
        <v>215.62952394698357</v>
      </c>
      <c r="H45" s="66">
        <f ca="1">G45*F45</f>
        <v>215.62952394698357</v>
      </c>
    </row>
    <row r="46" spans="1:8" ht="30" x14ac:dyDescent="0.25">
      <c r="A46" s="60"/>
      <c r="B46" s="61">
        <v>39427</v>
      </c>
      <c r="C46" s="61" t="s">
        <v>17</v>
      </c>
      <c r="D46" s="134" t="s">
        <v>395</v>
      </c>
      <c r="E46" s="61" t="s">
        <v>143</v>
      </c>
      <c r="F46" s="234">
        <v>3.851</v>
      </c>
      <c r="G46" s="62">
        <v>5.0199999999999996</v>
      </c>
      <c r="H46" s="63">
        <f>G46*F46</f>
        <v>19.33202</v>
      </c>
    </row>
    <row r="47" spans="1:8" ht="30" x14ac:dyDescent="0.25">
      <c r="A47" s="60"/>
      <c r="B47" s="61">
        <v>39430</v>
      </c>
      <c r="C47" s="61" t="s">
        <v>17</v>
      </c>
      <c r="D47" s="134" t="s">
        <v>396</v>
      </c>
      <c r="E47" s="61" t="s">
        <v>144</v>
      </c>
      <c r="F47" s="234">
        <v>1.3265</v>
      </c>
      <c r="G47" s="62">
        <v>1.89</v>
      </c>
      <c r="H47" s="63">
        <f t="shared" ref="H47:H53" si="6">G47*F47</f>
        <v>2.507085</v>
      </c>
    </row>
    <row r="48" spans="1:8" x14ac:dyDescent="0.25">
      <c r="A48" s="60"/>
      <c r="B48" s="61">
        <v>40547</v>
      </c>
      <c r="C48" s="61" t="s">
        <v>17</v>
      </c>
      <c r="D48" s="134" t="s">
        <v>397</v>
      </c>
      <c r="E48" s="61" t="s">
        <v>398</v>
      </c>
      <c r="F48" s="234">
        <v>1.32E-2</v>
      </c>
      <c r="G48" s="62">
        <v>37.24</v>
      </c>
      <c r="H48" s="63">
        <f t="shared" si="6"/>
        <v>0.491568</v>
      </c>
    </row>
    <row r="49" spans="1:8" ht="30" x14ac:dyDescent="0.25">
      <c r="A49" s="60"/>
      <c r="B49" s="61">
        <v>43131</v>
      </c>
      <c r="C49" s="61" t="s">
        <v>17</v>
      </c>
      <c r="D49" s="134" t="s">
        <v>884</v>
      </c>
      <c r="E49" s="61" t="s">
        <v>98</v>
      </c>
      <c r="F49" s="234">
        <v>4.2599999999999999E-2</v>
      </c>
      <c r="G49" s="62">
        <v>24.86</v>
      </c>
      <c r="H49" s="63">
        <f t="shared" si="6"/>
        <v>1.0590359999999999</v>
      </c>
    </row>
    <row r="50" spans="1:8" x14ac:dyDescent="0.25">
      <c r="A50" s="60"/>
      <c r="B50" s="61">
        <v>88278</v>
      </c>
      <c r="C50" s="61" t="s">
        <v>17</v>
      </c>
      <c r="D50" s="134" t="s">
        <v>399</v>
      </c>
      <c r="E50" s="61" t="s">
        <v>105</v>
      </c>
      <c r="F50" s="234">
        <v>0.36280000000000001</v>
      </c>
      <c r="G50" s="62">
        <v>24.45</v>
      </c>
      <c r="H50" s="63">
        <f t="shared" si="6"/>
        <v>8.8704599999999996</v>
      </c>
    </row>
    <row r="51" spans="1:8" x14ac:dyDescent="0.25">
      <c r="A51" s="60"/>
      <c r="B51" s="61">
        <v>88316</v>
      </c>
      <c r="C51" s="61" t="s">
        <v>17</v>
      </c>
      <c r="D51" s="134" t="s">
        <v>77</v>
      </c>
      <c r="E51" s="61" t="s">
        <v>105</v>
      </c>
      <c r="F51" s="234">
        <v>0.36280000000000001</v>
      </c>
      <c r="G51" s="62">
        <v>20.41</v>
      </c>
      <c r="H51" s="63">
        <f t="shared" si="6"/>
        <v>7.4047480000000006</v>
      </c>
    </row>
    <row r="52" spans="1:8" ht="30" x14ac:dyDescent="0.25">
      <c r="A52" s="60"/>
      <c r="B52" s="133" t="str">
        <f>'COT.'!$A$26</f>
        <v>COT-04</v>
      </c>
      <c r="C52" s="61" t="s">
        <v>19</v>
      </c>
      <c r="D52" s="134" t="str">
        <f>'COT.'!$B$26</f>
        <v>FORRO MINERAL REMOVÍVEL MODULAR (625x625x15MM) AMF TOPIQ PRIME.
ESTRUTURA APARENTE SK. COR BRANCO. REF. KNAUF (OU OWA OPÇÃO BRILLIANTO)</v>
      </c>
      <c r="E52" s="61" t="s">
        <v>107</v>
      </c>
      <c r="F52" s="234">
        <v>1.1000000000000001</v>
      </c>
      <c r="G52" s="64">
        <f ca="1">'COT.'!$E$26</f>
        <v>140.76782449725778</v>
      </c>
      <c r="H52" s="63">
        <f t="shared" ca="1" si="6"/>
        <v>154.84460694698356</v>
      </c>
    </row>
    <row r="53" spans="1:8" x14ac:dyDescent="0.25">
      <c r="A53" s="60"/>
      <c r="B53" s="133" t="str">
        <f>'COT.'!$A$32</f>
        <v>COT-05</v>
      </c>
      <c r="C53" s="61" t="s">
        <v>19</v>
      </c>
      <c r="D53" s="134" t="str">
        <f>'COT.'!$B$32</f>
        <v>PERFIL PARA FORRO MODULAR AÇO T24 CLICADO 24 X 62,5 MM</v>
      </c>
      <c r="E53" s="61" t="s">
        <v>144</v>
      </c>
      <c r="F53" s="234">
        <f>(2/1.25)*4</f>
        <v>6.4</v>
      </c>
      <c r="G53" s="64">
        <f ca="1">'COT.'!$E$32</f>
        <v>3.3</v>
      </c>
      <c r="H53" s="91">
        <f t="shared" ca="1" si="6"/>
        <v>21.12</v>
      </c>
    </row>
    <row r="54" spans="1:8" x14ac:dyDescent="0.25">
      <c r="A54" s="60"/>
      <c r="B54" s="133"/>
      <c r="C54" s="61"/>
      <c r="D54" s="134"/>
      <c r="E54" s="61"/>
      <c r="F54" s="234"/>
      <c r="G54" s="64"/>
      <c r="H54" s="91"/>
    </row>
    <row r="55" spans="1:8" x14ac:dyDescent="0.25">
      <c r="A55" s="59" t="str">
        <f>'Orçamento '!$A$52</f>
        <v>5.9</v>
      </c>
      <c r="B55" s="131" t="str">
        <f>'Orçamento '!B52</f>
        <v xml:space="preserve"> TJMMG-CP-09</v>
      </c>
      <c r="C55" s="131" t="str">
        <f>'Orçamento '!$C$52</f>
        <v xml:space="preserve">PRÓPRIO </v>
      </c>
      <c r="D55" s="131" t="str">
        <f>'Orçamento '!$D$52</f>
        <v>LÃ DE ROCHA 32KG/M³ - FORNECIMENTO E INSTALAÇÃO</v>
      </c>
      <c r="E55" s="131" t="s">
        <v>107</v>
      </c>
      <c r="F55" s="233">
        <v>1</v>
      </c>
      <c r="G55" s="65">
        <f ca="1">SUM(H56:H58)</f>
        <v>44.559037037037037</v>
      </c>
      <c r="H55" s="66">
        <f ca="1">G55*F55</f>
        <v>44.559037037037037</v>
      </c>
    </row>
    <row r="56" spans="1:8" x14ac:dyDescent="0.25">
      <c r="A56" s="60"/>
      <c r="B56" s="133" t="str">
        <f>'COT.'!A8</f>
        <v>COT-01</v>
      </c>
      <c r="C56" s="61" t="s">
        <v>19</v>
      </c>
      <c r="D56" s="61" t="s">
        <v>108</v>
      </c>
      <c r="E56" s="61" t="s">
        <v>107</v>
      </c>
      <c r="F56" s="234">
        <v>1</v>
      </c>
      <c r="G56" s="62">
        <f ca="1">'COT.'!$E$8</f>
        <v>29.474537037037035</v>
      </c>
      <c r="H56" s="63">
        <f ca="1">G56*F56</f>
        <v>29.474537037037035</v>
      </c>
    </row>
    <row r="57" spans="1:8" x14ac:dyDescent="0.25">
      <c r="A57" s="60"/>
      <c r="B57" s="61">
        <v>88278</v>
      </c>
      <c r="C57" s="61" t="s">
        <v>17</v>
      </c>
      <c r="D57" s="134" t="s">
        <v>136</v>
      </c>
      <c r="E57" s="61" t="s">
        <v>105</v>
      </c>
      <c r="F57" s="234">
        <v>0.45</v>
      </c>
      <c r="G57" s="62">
        <v>24.45</v>
      </c>
      <c r="H57" s="63">
        <f>G57*F57</f>
        <v>11.0025</v>
      </c>
    </row>
    <row r="58" spans="1:8" x14ac:dyDescent="0.25">
      <c r="A58" s="60"/>
      <c r="B58" s="61">
        <v>88316</v>
      </c>
      <c r="C58" s="61" t="s">
        <v>17</v>
      </c>
      <c r="D58" s="61" t="s">
        <v>18</v>
      </c>
      <c r="E58" s="61" t="s">
        <v>105</v>
      </c>
      <c r="F58" s="234">
        <v>0.2</v>
      </c>
      <c r="G58" s="62">
        <v>20.41</v>
      </c>
      <c r="H58" s="63">
        <f>G58*F58</f>
        <v>4.0819999999999999</v>
      </c>
    </row>
    <row r="59" spans="1:8" x14ac:dyDescent="0.25">
      <c r="A59" s="60"/>
      <c r="B59" s="61"/>
      <c r="C59" s="61"/>
      <c r="D59" s="61"/>
      <c r="E59" s="61"/>
      <c r="F59" s="234"/>
      <c r="G59" s="62"/>
      <c r="H59" s="63"/>
    </row>
    <row r="60" spans="1:8" x14ac:dyDescent="0.25">
      <c r="A60" s="59" t="str">
        <f>'Orçamento '!A53</f>
        <v>5.10</v>
      </c>
      <c r="B60" s="131" t="str">
        <f>'Orçamento '!$B$53</f>
        <v>TJMMG-CP-10</v>
      </c>
      <c r="C60" s="131" t="str">
        <f>'[5]Orçamento '!$C$57</f>
        <v xml:space="preserve">PRÓPRIO </v>
      </c>
      <c r="D60" s="132" t="str">
        <f>'Orçamento '!$D$53</f>
        <v>BANDA ACÚSTICA 48MM</v>
      </c>
      <c r="E60" s="131" t="s">
        <v>559</v>
      </c>
      <c r="F60" s="233">
        <v>1</v>
      </c>
      <c r="G60" s="65">
        <f ca="1">SUM(H61:H63)</f>
        <v>2.85955</v>
      </c>
      <c r="H60" s="66">
        <f ca="1">G60*F60</f>
        <v>2.85955</v>
      </c>
    </row>
    <row r="61" spans="1:8" x14ac:dyDescent="0.25">
      <c r="A61" s="60"/>
      <c r="B61" s="133" t="s">
        <v>298</v>
      </c>
      <c r="C61" s="61" t="s">
        <v>17</v>
      </c>
      <c r="D61" s="134" t="s">
        <v>136</v>
      </c>
      <c r="E61" s="61" t="s">
        <v>105</v>
      </c>
      <c r="F61" s="234">
        <v>0.01</v>
      </c>
      <c r="G61" s="62">
        <v>24.45</v>
      </c>
      <c r="H61" s="63">
        <f>G61*F61</f>
        <v>0.2445</v>
      </c>
    </row>
    <row r="62" spans="1:8" x14ac:dyDescent="0.25">
      <c r="A62" s="60"/>
      <c r="B62" s="133" t="s">
        <v>299</v>
      </c>
      <c r="C62" s="61" t="s">
        <v>17</v>
      </c>
      <c r="D62" s="61" t="s">
        <v>18</v>
      </c>
      <c r="E62" s="61" t="s">
        <v>105</v>
      </c>
      <c r="F62" s="234">
        <v>5.0000000000000001E-3</v>
      </c>
      <c r="G62" s="62">
        <v>20.41</v>
      </c>
      <c r="H62" s="63">
        <f>G62*F62</f>
        <v>0.10205</v>
      </c>
    </row>
    <row r="63" spans="1:8" x14ac:dyDescent="0.25">
      <c r="A63" s="60"/>
      <c r="B63" s="133" t="str">
        <f>'COT.'!$A$14</f>
        <v>COT-02</v>
      </c>
      <c r="C63" s="61" t="s">
        <v>19</v>
      </c>
      <c r="D63" s="61" t="s">
        <v>305</v>
      </c>
      <c r="E63" s="61" t="s">
        <v>143</v>
      </c>
      <c r="F63" s="234">
        <v>1</v>
      </c>
      <c r="G63" s="62">
        <f ca="1">'COT.'!$E$14</f>
        <v>2.5129999999999999</v>
      </c>
      <c r="H63" s="63">
        <f ca="1">G63*F63</f>
        <v>2.5129999999999999</v>
      </c>
    </row>
    <row r="64" spans="1:8" x14ac:dyDescent="0.25">
      <c r="A64" s="60"/>
      <c r="B64" s="61"/>
      <c r="C64" s="61"/>
      <c r="D64" s="61"/>
      <c r="E64" s="61"/>
      <c r="F64" s="234"/>
      <c r="G64" s="62"/>
      <c r="H64" s="63"/>
    </row>
    <row r="65" spans="1:9" ht="30" x14ac:dyDescent="0.25">
      <c r="A65" s="59" t="str">
        <f>'Orçamento '!A54</f>
        <v>5.11</v>
      </c>
      <c r="B65" s="131" t="str">
        <f>'Orçamento '!B54</f>
        <v>TJMMG-CP-11</v>
      </c>
      <c r="C65" s="131" t="str">
        <f>'Orçamento '!C54</f>
        <v>PRÓPRIO</v>
      </c>
      <c r="D65" s="132" t="str">
        <f>'Orçamento '!D54</f>
        <v>SÉPTOS COM PLACAS DE GESSO ACARTONADO (DRYWALL), PARA USO INTERNO, COM DUAS FACES DUPLAS E ESTRUTURA METÁLICA COM GUIAS SIMPLES.</v>
      </c>
      <c r="E65" s="131" t="str">
        <f>'Orçamento '!E54</f>
        <v>M²</v>
      </c>
      <c r="F65" s="233">
        <v>1</v>
      </c>
      <c r="G65" s="65">
        <f>SUM(H66:H77)</f>
        <v>150.02078500000005</v>
      </c>
      <c r="H65" s="66">
        <f>G65*F65</f>
        <v>150.02078500000005</v>
      </c>
    </row>
    <row r="66" spans="1:9" x14ac:dyDescent="0.25">
      <c r="A66" s="60"/>
      <c r="B66" s="133" t="s">
        <v>298</v>
      </c>
      <c r="C66" s="61" t="s">
        <v>17</v>
      </c>
      <c r="D66" s="134" t="s">
        <v>136</v>
      </c>
      <c r="E66" s="61" t="s">
        <v>105</v>
      </c>
      <c r="F66" s="234">
        <v>0.70799999999999996</v>
      </c>
      <c r="G66" s="62">
        <v>24.45</v>
      </c>
      <c r="H66" s="63">
        <f>G66*F66</f>
        <v>17.310599999999997</v>
      </c>
    </row>
    <row r="67" spans="1:9" x14ac:dyDescent="0.25">
      <c r="A67" s="60"/>
      <c r="B67" s="133" t="s">
        <v>299</v>
      </c>
      <c r="C67" s="61" t="s">
        <v>17</v>
      </c>
      <c r="D67" s="61" t="s">
        <v>18</v>
      </c>
      <c r="E67" s="61" t="s">
        <v>105</v>
      </c>
      <c r="F67" s="234">
        <v>0.23100000000000001</v>
      </c>
      <c r="G67" s="62">
        <v>20.41</v>
      </c>
      <c r="H67" s="63">
        <f>G67*F67</f>
        <v>4.7147100000000002</v>
      </c>
    </row>
    <row r="68" spans="1:9" ht="30" x14ac:dyDescent="0.25">
      <c r="A68" s="60"/>
      <c r="B68" s="61">
        <v>37586</v>
      </c>
      <c r="C68" s="61" t="s">
        <v>17</v>
      </c>
      <c r="D68" s="134" t="s">
        <v>954</v>
      </c>
      <c r="E68" s="61" t="s">
        <v>398</v>
      </c>
      <c r="F68" s="234">
        <v>2.4799999999999999E-2</v>
      </c>
      <c r="G68" s="62">
        <v>103.03</v>
      </c>
      <c r="H68" s="63">
        <f t="shared" ref="H68:H77" si="7">G68*F68</f>
        <v>2.5551439999999999</v>
      </c>
    </row>
    <row r="69" spans="1:9" ht="30" x14ac:dyDescent="0.25">
      <c r="A69" s="60"/>
      <c r="B69" s="61">
        <v>39413</v>
      </c>
      <c r="C69" s="61" t="s">
        <v>17</v>
      </c>
      <c r="D69" s="134" t="s">
        <v>955</v>
      </c>
      <c r="E69" s="61" t="s">
        <v>107</v>
      </c>
      <c r="F69" s="234">
        <v>4.2119999999999997</v>
      </c>
      <c r="G69" s="62">
        <v>21.02</v>
      </c>
      <c r="H69" s="63">
        <f t="shared" si="7"/>
        <v>88.536239999999992</v>
      </c>
    </row>
    <row r="70" spans="1:9" ht="30" x14ac:dyDescent="0.25">
      <c r="A70" s="60"/>
      <c r="B70" s="61">
        <v>39419</v>
      </c>
      <c r="C70" s="61" t="s">
        <v>17</v>
      </c>
      <c r="D70" s="134" t="s">
        <v>956</v>
      </c>
      <c r="E70" s="61" t="s">
        <v>143</v>
      </c>
      <c r="F70" s="234">
        <v>0.76239999999999997</v>
      </c>
      <c r="G70" s="62">
        <v>6.82</v>
      </c>
      <c r="H70" s="63">
        <f t="shared" si="7"/>
        <v>5.1995680000000002</v>
      </c>
    </row>
    <row r="71" spans="1:9" ht="30" x14ac:dyDescent="0.25">
      <c r="A71" s="60"/>
      <c r="B71" s="61">
        <v>39422</v>
      </c>
      <c r="C71" s="61" t="s">
        <v>17</v>
      </c>
      <c r="D71" s="134" t="s">
        <v>957</v>
      </c>
      <c r="E71" s="61" t="s">
        <v>143</v>
      </c>
      <c r="F71" s="234">
        <v>2.0005999999999999</v>
      </c>
      <c r="G71" s="62">
        <v>7.74</v>
      </c>
      <c r="H71" s="63">
        <f t="shared" si="7"/>
        <v>15.484643999999999</v>
      </c>
    </row>
    <row r="72" spans="1:9" ht="30" x14ac:dyDescent="0.25">
      <c r="A72" s="60"/>
      <c r="B72" s="61">
        <v>39431</v>
      </c>
      <c r="C72" s="61" t="s">
        <v>17</v>
      </c>
      <c r="D72" s="134" t="s">
        <v>958</v>
      </c>
      <c r="E72" s="61" t="s">
        <v>143</v>
      </c>
      <c r="F72" s="234">
        <v>2.5026999999999999</v>
      </c>
      <c r="G72" s="62">
        <v>0.33</v>
      </c>
      <c r="H72" s="63">
        <f t="shared" si="7"/>
        <v>0.82589100000000004</v>
      </c>
    </row>
    <row r="73" spans="1:9" ht="30" x14ac:dyDescent="0.25">
      <c r="A73" s="60"/>
      <c r="B73" s="61">
        <v>39432</v>
      </c>
      <c r="C73" s="61" t="s">
        <v>17</v>
      </c>
      <c r="D73" s="134" t="s">
        <v>959</v>
      </c>
      <c r="E73" s="61" t="s">
        <v>143</v>
      </c>
      <c r="F73" s="234">
        <v>0.74070000000000003</v>
      </c>
      <c r="G73" s="62">
        <v>2.91</v>
      </c>
      <c r="H73" s="63">
        <f t="shared" si="7"/>
        <v>2.155437</v>
      </c>
    </row>
    <row r="74" spans="1:9" ht="30" x14ac:dyDescent="0.25">
      <c r="A74" s="60"/>
      <c r="B74" s="61">
        <v>39434</v>
      </c>
      <c r="C74" s="61" t="s">
        <v>17</v>
      </c>
      <c r="D74" s="134" t="s">
        <v>960</v>
      </c>
      <c r="E74" s="61" t="s">
        <v>98</v>
      </c>
      <c r="F74" s="234">
        <v>1.0978000000000001</v>
      </c>
      <c r="G74" s="62">
        <v>3.64</v>
      </c>
      <c r="H74" s="63">
        <f t="shared" si="7"/>
        <v>3.9959920000000007</v>
      </c>
    </row>
    <row r="75" spans="1:9" ht="30" x14ac:dyDescent="0.25">
      <c r="A75" s="60"/>
      <c r="B75" s="61">
        <v>39435</v>
      </c>
      <c r="C75" s="61" t="s">
        <v>17</v>
      </c>
      <c r="D75" s="134" t="s">
        <v>961</v>
      </c>
      <c r="E75" s="61" t="s">
        <v>144</v>
      </c>
      <c r="F75" s="234">
        <v>20.186800000000002</v>
      </c>
      <c r="G75" s="62">
        <v>0.14000000000000001</v>
      </c>
      <c r="H75" s="63">
        <f t="shared" si="7"/>
        <v>2.8261520000000004</v>
      </c>
    </row>
    <row r="76" spans="1:9" ht="30" x14ac:dyDescent="0.25">
      <c r="A76" s="60"/>
      <c r="B76" s="61">
        <v>39437</v>
      </c>
      <c r="C76" s="61" t="s">
        <v>17</v>
      </c>
      <c r="D76" s="134" t="s">
        <v>962</v>
      </c>
      <c r="E76" s="61" t="s">
        <v>144</v>
      </c>
      <c r="F76" s="234">
        <v>20.186800000000002</v>
      </c>
      <c r="G76" s="62">
        <v>0.31</v>
      </c>
      <c r="H76" s="63">
        <f t="shared" si="7"/>
        <v>6.2579080000000005</v>
      </c>
    </row>
    <row r="77" spans="1:9" ht="30" x14ac:dyDescent="0.25">
      <c r="A77" s="60"/>
      <c r="B77" s="61">
        <v>39443</v>
      </c>
      <c r="C77" s="61" t="s">
        <v>17</v>
      </c>
      <c r="D77" s="134" t="s">
        <v>953</v>
      </c>
      <c r="E77" s="61" t="s">
        <v>144</v>
      </c>
      <c r="F77" s="234">
        <v>0.4803</v>
      </c>
      <c r="G77" s="62">
        <v>0.33</v>
      </c>
      <c r="H77" s="63">
        <f t="shared" si="7"/>
        <v>0.158499</v>
      </c>
    </row>
    <row r="78" spans="1:9" x14ac:dyDescent="0.25">
      <c r="A78" s="60"/>
      <c r="B78" s="133"/>
      <c r="C78" s="61"/>
      <c r="D78" s="61"/>
      <c r="E78" s="61"/>
      <c r="F78" s="234"/>
      <c r="G78" s="62"/>
      <c r="H78" s="63"/>
    </row>
    <row r="79" spans="1:9" s="61" customFormat="1" ht="30" x14ac:dyDescent="0.25">
      <c r="A79" s="59" t="str">
        <f>'Orçamento '!$A$57</f>
        <v>6.1</v>
      </c>
      <c r="B79" s="131" t="str">
        <f>'Orçamento '!$B$57</f>
        <v xml:space="preserve"> TJMMG-CP-12</v>
      </c>
      <c r="C79" s="131" t="str">
        <f>'Orçamento '!$C$57</f>
        <v xml:space="preserve">PRÓPRIO </v>
      </c>
      <c r="D79" s="132" t="str">
        <f>'Orçamento '!$D$57</f>
        <v>PISO VINÍLICO EM PLACA 30x30cM COM ESPESSURA 2MM. PAVIFLEX NATURAL COLEÇÃO THRU. COR 668 ARENITO. REF. TARKETT</v>
      </c>
      <c r="E79" s="131" t="s">
        <v>107</v>
      </c>
      <c r="F79" s="233">
        <v>1</v>
      </c>
      <c r="G79" s="65">
        <f ca="1">SUM(H80:H83)</f>
        <v>139.27485000000001</v>
      </c>
      <c r="H79" s="66">
        <f ca="1">G79*F79</f>
        <v>139.27485000000001</v>
      </c>
      <c r="I79" s="92"/>
    </row>
    <row r="80" spans="1:9" ht="21" customHeight="1" x14ac:dyDescent="0.25">
      <c r="A80" s="60"/>
      <c r="B80" s="61">
        <v>4791</v>
      </c>
      <c r="C80" s="61" t="s">
        <v>17</v>
      </c>
      <c r="D80" s="135" t="s">
        <v>661</v>
      </c>
      <c r="E80" s="61" t="s">
        <v>98</v>
      </c>
      <c r="F80" s="234">
        <v>9.5000000000000001E-2</v>
      </c>
      <c r="G80" s="62">
        <v>49.33</v>
      </c>
      <c r="H80" s="63">
        <f>G80*F80</f>
        <v>4.68635</v>
      </c>
    </row>
    <row r="81" spans="1:9" x14ac:dyDescent="0.25">
      <c r="A81" s="60"/>
      <c r="B81" s="61">
        <v>88309</v>
      </c>
      <c r="C81" s="61" t="s">
        <v>17</v>
      </c>
      <c r="D81" s="61" t="s">
        <v>78</v>
      </c>
      <c r="E81" s="61" t="s">
        <v>105</v>
      </c>
      <c r="F81" s="234">
        <v>0.17100000000000001</v>
      </c>
      <c r="G81" s="62">
        <v>28.15</v>
      </c>
      <c r="H81" s="63">
        <f>G81*F81</f>
        <v>4.81365</v>
      </c>
    </row>
    <row r="82" spans="1:9" x14ac:dyDescent="0.25">
      <c r="A82" s="60"/>
      <c r="B82" s="61">
        <v>88316</v>
      </c>
      <c r="C82" s="61" t="s">
        <v>17</v>
      </c>
      <c r="D82" s="61" t="s">
        <v>18</v>
      </c>
      <c r="E82" s="61" t="s">
        <v>105</v>
      </c>
      <c r="F82" s="234">
        <v>8.5000000000000006E-2</v>
      </c>
      <c r="G82" s="62">
        <v>20.41</v>
      </c>
      <c r="H82" s="63">
        <f>G82*F82</f>
        <v>1.7348500000000002</v>
      </c>
    </row>
    <row r="83" spans="1:9" ht="30" x14ac:dyDescent="0.25">
      <c r="A83" s="60"/>
      <c r="B83" s="133" t="str">
        <f>'COT.'!$A$38</f>
        <v>COT-06</v>
      </c>
      <c r="C83" s="61" t="s">
        <v>19</v>
      </c>
      <c r="D83" s="134" t="str">
        <f>'COT.'!$B$38</f>
        <v>PISO VINÍLICO EM PLACA 30x30cm COM ESPESSURA 2mm. PAVIFLEX NATURAL COLEÇÃO THRU. COR 668 ARENITO. REF. TARKETT</v>
      </c>
      <c r="E83" s="61" t="s">
        <v>107</v>
      </c>
      <c r="F83" s="234">
        <v>1.1000000000000001</v>
      </c>
      <c r="G83" s="62">
        <f ca="1">'COT.'!$E$38</f>
        <v>116.4</v>
      </c>
      <c r="H83" s="63">
        <f ca="1">G83*F83</f>
        <v>128.04000000000002</v>
      </c>
    </row>
    <row r="84" spans="1:9" x14ac:dyDescent="0.25">
      <c r="A84" s="60"/>
      <c r="B84" s="61"/>
      <c r="C84" s="61"/>
      <c r="D84" s="61"/>
      <c r="E84" s="61"/>
      <c r="F84" s="234"/>
      <c r="G84" s="62"/>
      <c r="H84" s="63"/>
    </row>
    <row r="85" spans="1:9" ht="30" x14ac:dyDescent="0.25">
      <c r="A85" s="59" t="str">
        <f>'Orçamento '!A58</f>
        <v>6.2</v>
      </c>
      <c r="B85" s="131" t="str">
        <f>'Orçamento '!$B$58</f>
        <v xml:space="preserve"> TJMMG-CP-13</v>
      </c>
      <c r="C85" s="131" t="str">
        <f>'Orçamento '!$C$58</f>
        <v xml:space="preserve">PRÓPRIO </v>
      </c>
      <c r="D85" s="132" t="str">
        <f>'Orçamento '!$D$58</f>
        <v>REINSTALAÇÃO DE RODAPÉ EM MADEIRA IPÊ COM VERNIZ MARÍTIMO IPÊ. h=7cM - MATERIAL REAPROVEITADO  (INCLUSO APLICAÇÃO DE VERNIZ)</v>
      </c>
      <c r="E85" s="131" t="s">
        <v>143</v>
      </c>
      <c r="F85" s="233">
        <v>1</v>
      </c>
      <c r="G85" s="65">
        <f>SUM(H86:H89)</f>
        <v>16.975477000000001</v>
      </c>
      <c r="H85" s="66">
        <f>G85*F85</f>
        <v>16.975477000000001</v>
      </c>
    </row>
    <row r="86" spans="1:9" x14ac:dyDescent="0.25">
      <c r="A86" s="60"/>
      <c r="B86" s="61">
        <v>44396</v>
      </c>
      <c r="C86" s="61" t="s">
        <v>17</v>
      </c>
      <c r="D86" s="134" t="s">
        <v>885</v>
      </c>
      <c r="E86" s="61" t="s">
        <v>98</v>
      </c>
      <c r="F86" s="234">
        <v>4.0300000000000002E-2</v>
      </c>
      <c r="G86" s="62">
        <v>44.59</v>
      </c>
      <c r="H86" s="63">
        <f t="shared" ref="H86:H89" si="8">G86*F86</f>
        <v>1.7969770000000003</v>
      </c>
    </row>
    <row r="87" spans="1:9" x14ac:dyDescent="0.25">
      <c r="A87" s="60"/>
      <c r="B87" s="61">
        <v>88309</v>
      </c>
      <c r="C87" s="61" t="s">
        <v>17</v>
      </c>
      <c r="D87" s="61" t="s">
        <v>78</v>
      </c>
      <c r="E87" s="61" t="s">
        <v>105</v>
      </c>
      <c r="F87" s="234">
        <v>0.17100000000000001</v>
      </c>
      <c r="G87" s="62">
        <v>28.15</v>
      </c>
      <c r="H87" s="63">
        <f>G87*F87</f>
        <v>4.81365</v>
      </c>
    </row>
    <row r="88" spans="1:9" x14ac:dyDescent="0.25">
      <c r="A88" s="60"/>
      <c r="B88" s="61">
        <v>88316</v>
      </c>
      <c r="C88" s="61" t="s">
        <v>17</v>
      </c>
      <c r="D88" s="61" t="s">
        <v>18</v>
      </c>
      <c r="E88" s="61" t="s">
        <v>105</v>
      </c>
      <c r="F88" s="234">
        <v>8.5000000000000006E-2</v>
      </c>
      <c r="G88" s="62">
        <v>20.41</v>
      </c>
      <c r="H88" s="63">
        <f>G88*F88</f>
        <v>1.7348500000000002</v>
      </c>
    </row>
    <row r="89" spans="1:9" ht="30" x14ac:dyDescent="0.25">
      <c r="A89" s="60"/>
      <c r="B89" s="133" t="s">
        <v>385</v>
      </c>
      <c r="C89" s="61" t="s">
        <v>6</v>
      </c>
      <c r="D89" s="134" t="s">
        <v>384</v>
      </c>
      <c r="E89" s="61" t="s">
        <v>143</v>
      </c>
      <c r="F89" s="234">
        <v>1</v>
      </c>
      <c r="G89" s="62">
        <v>8.6300000000000008</v>
      </c>
      <c r="H89" s="63">
        <f t="shared" si="8"/>
        <v>8.6300000000000008</v>
      </c>
    </row>
    <row r="90" spans="1:9" x14ac:dyDescent="0.25">
      <c r="A90" s="60"/>
      <c r="B90" s="61"/>
      <c r="C90" s="61"/>
      <c r="D90" s="61"/>
      <c r="E90" s="61"/>
      <c r="F90" s="234"/>
      <c r="G90" s="62"/>
      <c r="H90" s="63"/>
    </row>
    <row r="91" spans="1:9" x14ac:dyDescent="0.25">
      <c r="A91" s="59" t="str">
        <f>'Orçamento '!A69</f>
        <v>7.2.5</v>
      </c>
      <c r="B91" s="137" t="str">
        <f>'Orçamento '!B69</f>
        <v xml:space="preserve"> TJMMG-CP-14</v>
      </c>
      <c r="C91" s="131" t="str">
        <f>'Orçamento '!C69</f>
        <v>PRÓPRIO</v>
      </c>
      <c r="D91" s="132" t="str">
        <f>'Orçamento '!D69</f>
        <v>CONECTOR RETO METÁLICO DE 1 1/2´</v>
      </c>
      <c r="E91" s="131" t="str">
        <f>'Orçamento '!E69</f>
        <v>UN</v>
      </c>
      <c r="F91" s="233">
        <v>1</v>
      </c>
      <c r="G91" s="65">
        <f ca="1">SUM(H92:H94)</f>
        <v>16.877499999999998</v>
      </c>
      <c r="H91" s="66">
        <f ca="1">G91*F91</f>
        <v>16.877499999999998</v>
      </c>
      <c r="I91" s="37"/>
    </row>
    <row r="92" spans="1:9" x14ac:dyDescent="0.25">
      <c r="A92" s="93"/>
      <c r="B92" s="133" t="s">
        <v>288</v>
      </c>
      <c r="C92" s="61" t="s">
        <v>17</v>
      </c>
      <c r="D92" s="134" t="s">
        <v>40</v>
      </c>
      <c r="E92" s="61" t="s">
        <v>105</v>
      </c>
      <c r="F92" s="234">
        <f>5/60</f>
        <v>8.3333333333333329E-2</v>
      </c>
      <c r="G92" s="62">
        <v>23.03</v>
      </c>
      <c r="H92" s="63">
        <f t="shared" ref="H92:H94" si="9">G92*F92</f>
        <v>1.9191666666666667</v>
      </c>
      <c r="I92" s="37"/>
    </row>
    <row r="93" spans="1:9" x14ac:dyDescent="0.25">
      <c r="A93" s="93"/>
      <c r="B93" s="61">
        <v>88264</v>
      </c>
      <c r="C93" s="61" t="s">
        <v>17</v>
      </c>
      <c r="D93" s="61" t="s">
        <v>41</v>
      </c>
      <c r="E93" s="61" t="s">
        <v>105</v>
      </c>
      <c r="F93" s="234">
        <f>5/60</f>
        <v>8.3333333333333329E-2</v>
      </c>
      <c r="G93" s="62">
        <v>28.54</v>
      </c>
      <c r="H93" s="63">
        <f t="shared" si="9"/>
        <v>2.378333333333333</v>
      </c>
      <c r="I93" s="37"/>
    </row>
    <row r="94" spans="1:9" x14ac:dyDescent="0.25">
      <c r="A94" s="93"/>
      <c r="B94" s="138" t="str">
        <f>'COT.'!A284</f>
        <v>COT-48</v>
      </c>
      <c r="C94" s="37" t="s">
        <v>19</v>
      </c>
      <c r="D94" s="37" t="str">
        <f>'COT.'!B284</f>
        <v>CONECTOR RETO METÁLICO DE 1 1/2</v>
      </c>
      <c r="E94" s="61" t="s">
        <v>144</v>
      </c>
      <c r="F94" s="234">
        <v>1</v>
      </c>
      <c r="G94" s="64">
        <f ca="1">'COT.'!E284</f>
        <v>12.58</v>
      </c>
      <c r="H94" s="91">
        <f t="shared" ca="1" si="9"/>
        <v>12.58</v>
      </c>
      <c r="I94" s="37"/>
    </row>
    <row r="95" spans="1:9" x14ac:dyDescent="0.25">
      <c r="A95" s="93"/>
      <c r="B95" s="138"/>
      <c r="E95" s="61"/>
      <c r="F95" s="234"/>
      <c r="G95" s="64"/>
      <c r="H95" s="91"/>
      <c r="I95" s="37"/>
    </row>
    <row r="96" spans="1:9" ht="30" x14ac:dyDescent="0.25">
      <c r="A96" s="59" t="str">
        <f>'Orçamento '!A$71</f>
        <v>7.2.7</v>
      </c>
      <c r="B96" s="131" t="str">
        <f>'Orçamento '!B$71</f>
        <v>TJMMG-CP-15</v>
      </c>
      <c r="C96" s="131" t="str">
        <f>'Orçamento '!C$71</f>
        <v>PRÓPRIO</v>
      </c>
      <c r="D96" s="132" t="str">
        <f>'Orçamento '!D$71</f>
        <v>REMANEJAMENTO DE CIRCUITOS PARA O QUADRO NOVO INCLUINDO MATERIAL E MÃO DE OBRA</v>
      </c>
      <c r="E96" s="131" t="str">
        <f>'Orçamento '!E$71</f>
        <v>UN</v>
      </c>
      <c r="F96" s="233">
        <v>1</v>
      </c>
      <c r="G96" s="65">
        <f>SUM(H97:H99)</f>
        <v>132.459</v>
      </c>
      <c r="H96" s="66">
        <f>G96*F96</f>
        <v>132.459</v>
      </c>
    </row>
    <row r="97" spans="1:8" x14ac:dyDescent="0.25">
      <c r="A97" s="60"/>
      <c r="B97" s="61">
        <v>88264</v>
      </c>
      <c r="C97" s="61" t="s">
        <v>17</v>
      </c>
      <c r="D97" s="61" t="s">
        <v>41</v>
      </c>
      <c r="E97" s="61" t="s">
        <v>105</v>
      </c>
      <c r="F97" s="234">
        <v>1.7</v>
      </c>
      <c r="G97" s="62">
        <v>28.54</v>
      </c>
      <c r="H97" s="63">
        <f t="shared" ref="H97:H98" si="10">G97*F97</f>
        <v>48.518000000000001</v>
      </c>
    </row>
    <row r="98" spans="1:8" x14ac:dyDescent="0.25">
      <c r="A98" s="60"/>
      <c r="B98" s="61">
        <v>88247</v>
      </c>
      <c r="C98" s="61" t="s">
        <v>17</v>
      </c>
      <c r="D98" s="61" t="s">
        <v>456</v>
      </c>
      <c r="E98" s="61" t="s">
        <v>105</v>
      </c>
      <c r="F98" s="234">
        <v>1.7</v>
      </c>
      <c r="G98" s="62">
        <v>23.03</v>
      </c>
      <c r="H98" s="63">
        <f t="shared" si="10"/>
        <v>39.151000000000003</v>
      </c>
    </row>
    <row r="99" spans="1:8" x14ac:dyDescent="0.25">
      <c r="A99" s="60"/>
      <c r="B99" s="133" t="s">
        <v>951</v>
      </c>
      <c r="C99" s="61" t="s">
        <v>904</v>
      </c>
      <c r="D99" s="134" t="s">
        <v>950</v>
      </c>
      <c r="E99" s="61" t="s">
        <v>143</v>
      </c>
      <c r="F99" s="234">
        <v>3</v>
      </c>
      <c r="G99" s="62">
        <v>14.93</v>
      </c>
      <c r="H99" s="63">
        <f>G99*F99</f>
        <v>44.79</v>
      </c>
    </row>
    <row r="100" spans="1:8" x14ac:dyDescent="0.25">
      <c r="A100" s="60"/>
      <c r="B100" s="61"/>
      <c r="C100" s="61"/>
      <c r="D100" s="61"/>
      <c r="E100" s="61"/>
      <c r="F100" s="234"/>
      <c r="G100" s="62"/>
      <c r="H100" s="63"/>
    </row>
    <row r="101" spans="1:8" ht="30" x14ac:dyDescent="0.25">
      <c r="A101" s="59" t="str">
        <f>'Orçamento '!A79</f>
        <v>7.3.7</v>
      </c>
      <c r="B101" s="131" t="str">
        <f>'Orçamento '!B79</f>
        <v>TJMMG-CP-16</v>
      </c>
      <c r="C101" s="131" t="str">
        <f>'Orçamento '!C79</f>
        <v>PRÓPRIO</v>
      </c>
      <c r="D101" s="132" t="str">
        <f>'Orçamento '!D79</f>
        <v>DISJUNTOR MONOPOLAR TIPO DIN, CORRENTE NOMINAL DE 6A - FORNECIMENTO E INSTALAÇÃO. AF_10/2020</v>
      </c>
      <c r="E101" s="131" t="str">
        <f>'Orçamento '!E79</f>
        <v>UN</v>
      </c>
      <c r="F101" s="233">
        <v>1</v>
      </c>
      <c r="G101" s="65">
        <f ca="1">SUM(H102:H104)</f>
        <v>29.033299999999997</v>
      </c>
      <c r="H101" s="66">
        <f ca="1">G101*F101</f>
        <v>29.033299999999997</v>
      </c>
    </row>
    <row r="102" spans="1:8" x14ac:dyDescent="0.25">
      <c r="A102" s="60"/>
      <c r="B102" s="61">
        <v>88264</v>
      </c>
      <c r="C102" s="61" t="s">
        <v>17</v>
      </c>
      <c r="D102" s="61" t="s">
        <v>41</v>
      </c>
      <c r="E102" s="61" t="s">
        <v>105</v>
      </c>
      <c r="F102" s="234">
        <f>F103*2</f>
        <v>0.06</v>
      </c>
      <c r="G102" s="62">
        <v>28.54</v>
      </c>
      <c r="H102" s="63">
        <f t="shared" ref="H102:H103" si="11">G102*F102</f>
        <v>1.7123999999999999</v>
      </c>
    </row>
    <row r="103" spans="1:8" x14ac:dyDescent="0.25">
      <c r="A103" s="60"/>
      <c r="B103" s="61">
        <v>88247</v>
      </c>
      <c r="C103" s="61" t="s">
        <v>17</v>
      </c>
      <c r="D103" s="61" t="s">
        <v>456</v>
      </c>
      <c r="E103" s="61" t="s">
        <v>105</v>
      </c>
      <c r="F103" s="234">
        <v>0.03</v>
      </c>
      <c r="G103" s="62">
        <v>23.03</v>
      </c>
      <c r="H103" s="63">
        <f t="shared" si="11"/>
        <v>0.69089999999999996</v>
      </c>
    </row>
    <row r="104" spans="1:8" x14ac:dyDescent="0.25">
      <c r="A104" s="60"/>
      <c r="B104" s="133" t="str">
        <f>'COT.'!$A$314</f>
        <v>COT-53</v>
      </c>
      <c r="C104" s="61" t="s">
        <v>19</v>
      </c>
      <c r="D104" s="134" t="str">
        <f>'COT.'!B314</f>
        <v>DISJUNTOR MONOPOLAR 6A</v>
      </c>
      <c r="E104" s="61" t="s">
        <v>144</v>
      </c>
      <c r="F104" s="234">
        <v>1</v>
      </c>
      <c r="G104" s="62">
        <f ca="1">'COT.'!E314</f>
        <v>26.63</v>
      </c>
      <c r="H104" s="63">
        <f ca="1">G104*F104</f>
        <v>26.63</v>
      </c>
    </row>
    <row r="105" spans="1:8" x14ac:dyDescent="0.25">
      <c r="A105" s="60"/>
      <c r="B105" s="61"/>
      <c r="C105" s="61"/>
      <c r="D105" s="61"/>
      <c r="E105" s="61"/>
      <c r="F105" s="234"/>
      <c r="G105" s="62"/>
      <c r="H105" s="63"/>
    </row>
    <row r="106" spans="1:8" ht="45" customHeight="1" x14ac:dyDescent="0.25">
      <c r="A106" s="59" t="str">
        <f>'Orçamento '!A83</f>
        <v>7.3.11</v>
      </c>
      <c r="B106" s="136" t="str">
        <f>'Orçamento '!B83</f>
        <v>TJMMG-CP-17</v>
      </c>
      <c r="C106" s="131" t="str">
        <f>'Orçamento '!C83</f>
        <v>PRÓPRIO</v>
      </c>
      <c r="D106" s="132" t="str">
        <f>'Orçamento '!D83</f>
        <v>ACESSÓRIOS DE MONTAGEM</v>
      </c>
      <c r="E106" s="131" t="str">
        <f>'Orçamento '!E83</f>
        <v>CJ</v>
      </c>
      <c r="F106" s="233">
        <v>1</v>
      </c>
      <c r="G106" s="65">
        <f>SUM(H107:H112)</f>
        <v>408.28</v>
      </c>
      <c r="H106" s="66">
        <f>G106*F106</f>
        <v>408.28</v>
      </c>
    </row>
    <row r="107" spans="1:8" x14ac:dyDescent="0.25">
      <c r="A107" s="60"/>
      <c r="B107" s="61">
        <v>88264</v>
      </c>
      <c r="C107" s="61" t="s">
        <v>17</v>
      </c>
      <c r="D107" s="61" t="s">
        <v>41</v>
      </c>
      <c r="E107" s="61" t="s">
        <v>105</v>
      </c>
      <c r="F107" s="234">
        <v>4</v>
      </c>
      <c r="G107" s="62">
        <v>28.54</v>
      </c>
      <c r="H107" s="63">
        <f t="shared" ref="H107:H108" si="12">G107*F107</f>
        <v>114.16</v>
      </c>
    </row>
    <row r="108" spans="1:8" x14ac:dyDescent="0.25">
      <c r="A108" s="60"/>
      <c r="B108" s="61">
        <v>88247</v>
      </c>
      <c r="C108" s="61" t="s">
        <v>17</v>
      </c>
      <c r="D108" s="61" t="s">
        <v>456</v>
      </c>
      <c r="E108" s="61" t="s">
        <v>105</v>
      </c>
      <c r="F108" s="234">
        <v>4</v>
      </c>
      <c r="G108" s="62">
        <v>23.03</v>
      </c>
      <c r="H108" s="63">
        <f t="shared" si="12"/>
        <v>92.12</v>
      </c>
    </row>
    <row r="109" spans="1:8" x14ac:dyDescent="0.25">
      <c r="A109" s="60"/>
      <c r="B109" s="133" t="s">
        <v>690</v>
      </c>
      <c r="C109" s="61" t="s">
        <v>140</v>
      </c>
      <c r="D109" s="151" t="s">
        <v>883</v>
      </c>
      <c r="E109" s="61" t="s">
        <v>144</v>
      </c>
      <c r="F109" s="234">
        <v>500</v>
      </c>
      <c r="G109" s="62">
        <v>0.05</v>
      </c>
      <c r="H109" s="63">
        <f t="shared" ref="H109:H112" si="13">G109*F109</f>
        <v>25</v>
      </c>
    </row>
    <row r="110" spans="1:8" x14ac:dyDescent="0.25">
      <c r="A110" s="60"/>
      <c r="B110" s="133" t="s">
        <v>690</v>
      </c>
      <c r="C110" s="61" t="s">
        <v>140</v>
      </c>
      <c r="D110" s="151" t="s">
        <v>883</v>
      </c>
      <c r="E110" s="61" t="s">
        <v>144</v>
      </c>
      <c r="F110" s="234">
        <v>500</v>
      </c>
      <c r="G110" s="62">
        <v>0.05</v>
      </c>
      <c r="H110" s="63">
        <f t="shared" si="13"/>
        <v>25</v>
      </c>
    </row>
    <row r="111" spans="1:8" x14ac:dyDescent="0.25">
      <c r="A111" s="93"/>
      <c r="B111" s="37">
        <v>12377</v>
      </c>
      <c r="C111" s="61" t="s">
        <v>140</v>
      </c>
      <c r="D111" s="37" t="s">
        <v>886</v>
      </c>
      <c r="E111" s="61" t="s">
        <v>606</v>
      </c>
      <c r="F111" s="235">
        <v>100</v>
      </c>
      <c r="G111" s="111">
        <v>0.6</v>
      </c>
      <c r="H111" s="63">
        <f t="shared" si="13"/>
        <v>60</v>
      </c>
    </row>
    <row r="112" spans="1:8" x14ac:dyDescent="0.25">
      <c r="A112" s="93"/>
      <c r="B112" s="37">
        <v>2624</v>
      </c>
      <c r="C112" s="37" t="s">
        <v>140</v>
      </c>
      <c r="D112" s="37" t="s">
        <v>887</v>
      </c>
      <c r="E112" s="61" t="s">
        <v>606</v>
      </c>
      <c r="F112" s="235">
        <v>100</v>
      </c>
      <c r="G112" s="111">
        <v>0.92</v>
      </c>
      <c r="H112" s="63">
        <f t="shared" si="13"/>
        <v>92</v>
      </c>
    </row>
    <row r="113" spans="1:8" x14ac:dyDescent="0.25">
      <c r="A113" s="93"/>
      <c r="G113" s="111"/>
      <c r="H113" s="112"/>
    </row>
    <row r="114" spans="1:8" ht="30" x14ac:dyDescent="0.25">
      <c r="A114" s="59" t="str">
        <f>'Orçamento '!A$124</f>
        <v>7.7.5</v>
      </c>
      <c r="B114" s="131" t="str">
        <f>'Orçamento '!B$124</f>
        <v xml:space="preserve"> TJMMG-CP-18</v>
      </c>
      <c r="C114" s="131" t="str">
        <f>'Orçamento '!C$124</f>
        <v>PRÓPRIO</v>
      </c>
      <c r="D114" s="132" t="str">
        <f>'Orçamento '!D$124</f>
        <v>LUMINÁRIA PARA LÂMPADA LED DE EMBUTIR. COM ALETAS E REFLETORES PARABÓLICOS EM ALUMÍNIO 124X31CM</v>
      </c>
      <c r="E114" s="131" t="str">
        <f>'Orçamento '!$E$124</f>
        <v>UN</v>
      </c>
      <c r="F114" s="233">
        <v>1</v>
      </c>
      <c r="G114" s="65">
        <f ca="1">SUM(H115:H117)</f>
        <v>214.47149999999999</v>
      </c>
      <c r="H114" s="66">
        <f ca="1">G114*F114</f>
        <v>214.47149999999999</v>
      </c>
    </row>
    <row r="115" spans="1:8" x14ac:dyDescent="0.25">
      <c r="A115" s="60"/>
      <c r="B115" s="133" t="s">
        <v>288</v>
      </c>
      <c r="C115" s="61" t="s">
        <v>17</v>
      </c>
      <c r="D115" s="134" t="s">
        <v>40</v>
      </c>
      <c r="E115" s="61" t="s">
        <v>105</v>
      </c>
      <c r="F115" s="234">
        <v>0.65</v>
      </c>
      <c r="G115" s="62">
        <v>23.03</v>
      </c>
      <c r="H115" s="63">
        <f>G115*F115</f>
        <v>14.969500000000002</v>
      </c>
    </row>
    <row r="116" spans="1:8" x14ac:dyDescent="0.25">
      <c r="A116" s="60"/>
      <c r="B116" s="61">
        <v>88264</v>
      </c>
      <c r="C116" s="61" t="s">
        <v>17</v>
      </c>
      <c r="D116" s="61" t="s">
        <v>41</v>
      </c>
      <c r="E116" s="61" t="s">
        <v>105</v>
      </c>
      <c r="F116" s="234">
        <f>0.65*2</f>
        <v>1.3</v>
      </c>
      <c r="G116" s="62">
        <v>28.54</v>
      </c>
      <c r="H116" s="63">
        <f t="shared" ref="H116:H117" si="14">G116*F116</f>
        <v>37.101999999999997</v>
      </c>
    </row>
    <row r="117" spans="1:8" ht="30" x14ac:dyDescent="0.25">
      <c r="A117" s="60"/>
      <c r="B117" s="133" t="str">
        <f>'COT.'!$A$50</f>
        <v>COT-08</v>
      </c>
      <c r="C117" s="61" t="s">
        <v>19</v>
      </c>
      <c r="D117" s="134" t="s">
        <v>402</v>
      </c>
      <c r="E117" s="61" t="s">
        <v>474</v>
      </c>
      <c r="F117" s="234">
        <v>1</v>
      </c>
      <c r="G117" s="62">
        <f ca="1">'COT.'!$E$50</f>
        <v>162.4</v>
      </c>
      <c r="H117" s="63">
        <f t="shared" ca="1" si="14"/>
        <v>162.4</v>
      </c>
    </row>
    <row r="118" spans="1:8" x14ac:dyDescent="0.25">
      <c r="A118" s="60"/>
      <c r="B118" s="61"/>
      <c r="C118" s="61"/>
      <c r="D118" s="61"/>
      <c r="E118" s="61"/>
      <c r="F118" s="234"/>
      <c r="G118" s="62"/>
      <c r="H118" s="63"/>
    </row>
    <row r="119" spans="1:8" ht="30" x14ac:dyDescent="0.25">
      <c r="A119" s="59" t="str">
        <f>'Orçamento '!$A$125</f>
        <v>7.7.6</v>
      </c>
      <c r="B119" s="131" t="str">
        <f>'Orçamento '!$B$125</f>
        <v xml:space="preserve"> TJMMG-CP-19</v>
      </c>
      <c r="C119" s="131" t="str">
        <f>'Orçamento '!$C$125</f>
        <v>PRÓPRIO</v>
      </c>
      <c r="D119" s="132" t="str">
        <f>'Orçamento '!$D$125</f>
        <v>LUMINÁRIA PARA LÂMPADA LED DE EMBUTIR. COM ALETAS E REFLETORES PARABÓLICOS EM ALUMÍNIO 62X62CM</v>
      </c>
      <c r="E119" s="131" t="str">
        <f>'Orçamento '!$E$125</f>
        <v>UN</v>
      </c>
      <c r="F119" s="233">
        <v>1</v>
      </c>
      <c r="G119" s="65">
        <f ca="1">SUM(H120:H122)</f>
        <v>297.41149999999999</v>
      </c>
      <c r="H119" s="66">
        <f ca="1">G119*F119</f>
        <v>297.41149999999999</v>
      </c>
    </row>
    <row r="120" spans="1:8" x14ac:dyDescent="0.25">
      <c r="A120" s="60"/>
      <c r="B120" s="133" t="s">
        <v>288</v>
      </c>
      <c r="C120" s="61" t="s">
        <v>17</v>
      </c>
      <c r="D120" s="134" t="s">
        <v>40</v>
      </c>
      <c r="E120" s="61" t="s">
        <v>105</v>
      </c>
      <c r="F120" s="234">
        <v>0.65</v>
      </c>
      <c r="G120" s="62">
        <v>23.03</v>
      </c>
      <c r="H120" s="63">
        <f>G120*F120</f>
        <v>14.969500000000002</v>
      </c>
    </row>
    <row r="121" spans="1:8" x14ac:dyDescent="0.25">
      <c r="A121" s="60"/>
      <c r="B121" s="61">
        <v>88264</v>
      </c>
      <c r="C121" s="61" t="s">
        <v>17</v>
      </c>
      <c r="D121" s="61" t="s">
        <v>41</v>
      </c>
      <c r="E121" s="61" t="s">
        <v>105</v>
      </c>
      <c r="F121" s="234">
        <f>0.65*2</f>
        <v>1.3</v>
      </c>
      <c r="G121" s="62">
        <v>28.54</v>
      </c>
      <c r="H121" s="63">
        <f t="shared" ref="H121:H122" si="15">G121*F121</f>
        <v>37.101999999999997</v>
      </c>
    </row>
    <row r="122" spans="1:8" ht="30" x14ac:dyDescent="0.25">
      <c r="A122" s="60"/>
      <c r="B122" s="133" t="str">
        <f>'COT.'!$A$56</f>
        <v>COT-09</v>
      </c>
      <c r="C122" s="61" t="s">
        <v>19</v>
      </c>
      <c r="D122" s="134" t="s">
        <v>403</v>
      </c>
      <c r="E122" s="61" t="s">
        <v>474</v>
      </c>
      <c r="F122" s="234">
        <v>1</v>
      </c>
      <c r="G122" s="62">
        <f ca="1">'COT.'!$E$56</f>
        <v>245.33999999999997</v>
      </c>
      <c r="H122" s="63">
        <f t="shared" ca="1" si="15"/>
        <v>245.33999999999997</v>
      </c>
    </row>
    <row r="123" spans="1:8" x14ac:dyDescent="0.25">
      <c r="A123" s="60"/>
      <c r="B123" s="61"/>
      <c r="C123" s="61"/>
      <c r="D123" s="61"/>
      <c r="E123" s="61"/>
      <c r="F123" s="234"/>
      <c r="G123" s="62"/>
      <c r="H123" s="63"/>
    </row>
    <row r="124" spans="1:8" x14ac:dyDescent="0.25">
      <c r="A124" s="59" t="str">
        <f>'Orçamento '!A126</f>
        <v>7.7.7</v>
      </c>
      <c r="B124" s="131" t="str">
        <f>'Orçamento '!B126</f>
        <v xml:space="preserve"> TJMMG-CP-20</v>
      </c>
      <c r="C124" s="131" t="str">
        <f>'Orçamento '!C126</f>
        <v>PRÓPRIO</v>
      </c>
      <c r="D124" s="132" t="str">
        <f>'Orçamento '!D126</f>
        <v>PAINEL LED DE EMBUTIR SLIM 62X62CM</v>
      </c>
      <c r="E124" s="131" t="str">
        <f>'Orçamento '!E126</f>
        <v>UN</v>
      </c>
      <c r="F124" s="233">
        <v>1</v>
      </c>
      <c r="G124" s="65">
        <f ca="1">SUM(H125:H127)</f>
        <v>298.97149999999999</v>
      </c>
      <c r="H124" s="66">
        <f ca="1">G124*F124</f>
        <v>298.97149999999999</v>
      </c>
    </row>
    <row r="125" spans="1:8" x14ac:dyDescent="0.25">
      <c r="A125" s="60"/>
      <c r="B125" s="133" t="s">
        <v>288</v>
      </c>
      <c r="C125" s="61" t="s">
        <v>17</v>
      </c>
      <c r="D125" s="134" t="s">
        <v>40</v>
      </c>
      <c r="E125" s="61" t="s">
        <v>105</v>
      </c>
      <c r="F125" s="234">
        <v>0.65</v>
      </c>
      <c r="G125" s="62">
        <v>23.03</v>
      </c>
      <c r="H125" s="63">
        <f>G125*F125</f>
        <v>14.969500000000002</v>
      </c>
    </row>
    <row r="126" spans="1:8" x14ac:dyDescent="0.25">
      <c r="A126" s="60"/>
      <c r="B126" s="61">
        <v>88264</v>
      </c>
      <c r="C126" s="61" t="s">
        <v>17</v>
      </c>
      <c r="D126" s="61" t="s">
        <v>41</v>
      </c>
      <c r="E126" s="61" t="s">
        <v>105</v>
      </c>
      <c r="F126" s="234">
        <f>0.65*2</f>
        <v>1.3</v>
      </c>
      <c r="G126" s="62">
        <v>28.54</v>
      </c>
      <c r="H126" s="63">
        <f t="shared" ref="H126:H127" si="16">G126*F126</f>
        <v>37.101999999999997</v>
      </c>
    </row>
    <row r="127" spans="1:8" x14ac:dyDescent="0.25">
      <c r="A127" s="60"/>
      <c r="B127" s="133" t="str">
        <f>'COT.'!$A$62</f>
        <v>COT-10</v>
      </c>
      <c r="C127" s="61" t="s">
        <v>19</v>
      </c>
      <c r="D127" s="61" t="s">
        <v>404</v>
      </c>
      <c r="E127" s="61" t="s">
        <v>474</v>
      </c>
      <c r="F127" s="234">
        <v>1</v>
      </c>
      <c r="G127" s="62">
        <f ca="1">'COT.'!$E$62</f>
        <v>246.9</v>
      </c>
      <c r="H127" s="63">
        <f t="shared" ca="1" si="16"/>
        <v>246.9</v>
      </c>
    </row>
    <row r="128" spans="1:8" x14ac:dyDescent="0.25">
      <c r="A128" s="60"/>
      <c r="B128" s="61"/>
      <c r="C128" s="61"/>
      <c r="D128" s="61"/>
      <c r="E128" s="61"/>
      <c r="F128" s="234"/>
      <c r="G128" s="62"/>
      <c r="H128" s="63"/>
    </row>
    <row r="129" spans="1:8" x14ac:dyDescent="0.25">
      <c r="A129" s="59" t="str">
        <f>'Orçamento '!A171</f>
        <v>8.6.6</v>
      </c>
      <c r="B129" s="131" t="str">
        <f>'Orçamento '!B171</f>
        <v xml:space="preserve"> TJMMG-CP-21</v>
      </c>
      <c r="C129" s="131" t="str">
        <f>'Orçamento '!C171</f>
        <v xml:space="preserve">PRÓPRIO </v>
      </c>
      <c r="D129" s="132" t="str">
        <f>'Orçamento '!D171</f>
        <v>CHAVE REVERSORA (1-0-2) 4P 100A - FORNECIMENTO E INTALAÇÃO</v>
      </c>
      <c r="E129" s="131" t="str">
        <f>'Orçamento '!E171</f>
        <v>UN</v>
      </c>
      <c r="F129" s="233">
        <v>1</v>
      </c>
      <c r="G129" s="65">
        <f ca="1">SUM(H130:H133)</f>
        <v>820.55</v>
      </c>
      <c r="H129" s="66">
        <f ca="1">G129*F129</f>
        <v>820.55</v>
      </c>
    </row>
    <row r="130" spans="1:8" x14ac:dyDescent="0.25">
      <c r="A130" s="60"/>
      <c r="B130" s="61">
        <v>88264</v>
      </c>
      <c r="C130" s="61" t="s">
        <v>17</v>
      </c>
      <c r="D130" s="61" t="s">
        <v>41</v>
      </c>
      <c r="E130" s="61" t="s">
        <v>105</v>
      </c>
      <c r="F130" s="234">
        <v>4</v>
      </c>
      <c r="G130" s="62">
        <v>27.8</v>
      </c>
      <c r="H130" s="63">
        <f t="shared" ref="H130:H132" si="17">G130*F130</f>
        <v>111.2</v>
      </c>
    </row>
    <row r="131" spans="1:8" x14ac:dyDescent="0.25">
      <c r="A131" s="60"/>
      <c r="B131" s="133" t="s">
        <v>288</v>
      </c>
      <c r="C131" s="61" t="s">
        <v>17</v>
      </c>
      <c r="D131" s="134" t="s">
        <v>40</v>
      </c>
      <c r="E131" s="61" t="s">
        <v>105</v>
      </c>
      <c r="F131" s="254">
        <v>4</v>
      </c>
      <c r="G131" s="62">
        <v>23.03</v>
      </c>
      <c r="H131" s="63">
        <f t="shared" si="17"/>
        <v>92.12</v>
      </c>
    </row>
    <row r="132" spans="1:8" x14ac:dyDescent="0.25">
      <c r="A132" s="60"/>
      <c r="B132" s="133" t="str">
        <f>'COT.'!A326</f>
        <v>COT-55</v>
      </c>
      <c r="C132" s="61" t="s">
        <v>19</v>
      </c>
      <c r="D132" s="61" t="str">
        <f>'COT.'!B326</f>
        <v>CHAVE REVERSORA (1-0-2) 4P 100A</v>
      </c>
      <c r="E132" s="61" t="s">
        <v>144</v>
      </c>
      <c r="F132" s="61">
        <v>1</v>
      </c>
      <c r="G132" s="62">
        <f ca="1">'COT.'!E326</f>
        <v>617.23</v>
      </c>
      <c r="H132" s="63">
        <f t="shared" ca="1" si="17"/>
        <v>617.23</v>
      </c>
    </row>
    <row r="133" spans="1:8" x14ac:dyDescent="0.25">
      <c r="A133" s="93"/>
      <c r="E133" s="61"/>
      <c r="F133" s="37"/>
      <c r="G133" s="111"/>
      <c r="H133" s="63"/>
    </row>
    <row r="134" spans="1:8" x14ac:dyDescent="0.25">
      <c r="A134" s="59" t="str">
        <f>'Orçamento '!A174</f>
        <v>8.6.9</v>
      </c>
      <c r="B134" s="131" t="str">
        <f>'Orçamento '!B174</f>
        <v>TJMMG-CP-22</v>
      </c>
      <c r="C134" s="131" t="str">
        <f>'Orçamento '!C174</f>
        <v>PRÓPRIO</v>
      </c>
      <c r="D134" s="132" t="str">
        <f>'Orçamento '!D174</f>
        <v>ACESSÓRIOS DE MONTAGEM</v>
      </c>
      <c r="E134" s="131" t="str">
        <f>'Orçamento '!E174</f>
        <v>CJ</v>
      </c>
      <c r="F134" s="233">
        <v>1</v>
      </c>
      <c r="G134" s="65">
        <f>SUM(H135:H139)</f>
        <v>305.26</v>
      </c>
      <c r="H134" s="66">
        <f>G134*F134</f>
        <v>305.26</v>
      </c>
    </row>
    <row r="135" spans="1:8" x14ac:dyDescent="0.25">
      <c r="A135" s="60"/>
      <c r="B135" s="61">
        <v>88264</v>
      </c>
      <c r="C135" s="61" t="s">
        <v>17</v>
      </c>
      <c r="D135" s="61" t="s">
        <v>41</v>
      </c>
      <c r="E135" s="61" t="s">
        <v>105</v>
      </c>
      <c r="F135" s="234">
        <f>0.65*2</f>
        <v>1.3</v>
      </c>
      <c r="G135" s="62">
        <v>27.8</v>
      </c>
      <c r="H135" s="63">
        <f t="shared" ref="H135:H139" si="18">G135*F135</f>
        <v>36.14</v>
      </c>
    </row>
    <row r="136" spans="1:8" x14ac:dyDescent="0.25">
      <c r="A136" s="60"/>
      <c r="B136" s="133" t="s">
        <v>288</v>
      </c>
      <c r="C136" s="61" t="s">
        <v>17</v>
      </c>
      <c r="D136" s="134" t="s">
        <v>40</v>
      </c>
      <c r="E136" s="61" t="s">
        <v>105</v>
      </c>
      <c r="F136" s="254">
        <v>4</v>
      </c>
      <c r="G136" s="62">
        <v>23.03</v>
      </c>
      <c r="H136" s="63">
        <f t="shared" si="18"/>
        <v>92.12</v>
      </c>
    </row>
    <row r="137" spans="1:8" x14ac:dyDescent="0.25">
      <c r="A137" s="60"/>
      <c r="B137" s="133" t="s">
        <v>690</v>
      </c>
      <c r="C137" s="61" t="s">
        <v>140</v>
      </c>
      <c r="D137" s="61" t="s">
        <v>883</v>
      </c>
      <c r="E137" s="61" t="s">
        <v>474</v>
      </c>
      <c r="F137" s="61">
        <v>500</v>
      </c>
      <c r="G137" s="62">
        <v>0.05</v>
      </c>
      <c r="H137" s="63">
        <f t="shared" si="18"/>
        <v>25</v>
      </c>
    </row>
    <row r="138" spans="1:8" x14ac:dyDescent="0.25">
      <c r="A138" s="93"/>
      <c r="B138" s="37">
        <v>12377</v>
      </c>
      <c r="C138" s="61" t="s">
        <v>140</v>
      </c>
      <c r="D138" s="37" t="s">
        <v>886</v>
      </c>
      <c r="E138" s="61" t="s">
        <v>474</v>
      </c>
      <c r="F138" s="37">
        <v>100</v>
      </c>
      <c r="G138" s="111">
        <v>0.6</v>
      </c>
      <c r="H138" s="63">
        <f t="shared" si="18"/>
        <v>60</v>
      </c>
    </row>
    <row r="139" spans="1:8" x14ac:dyDescent="0.25">
      <c r="A139" s="93"/>
      <c r="B139" s="37">
        <v>3252</v>
      </c>
      <c r="C139" s="37" t="s">
        <v>140</v>
      </c>
      <c r="D139" s="37" t="s">
        <v>435</v>
      </c>
      <c r="E139" s="61" t="s">
        <v>474</v>
      </c>
      <c r="F139" s="37">
        <v>100</v>
      </c>
      <c r="G139" s="111">
        <v>0.92</v>
      </c>
      <c r="H139" s="63">
        <f t="shared" si="18"/>
        <v>92</v>
      </c>
    </row>
    <row r="140" spans="1:8" x14ac:dyDescent="0.25">
      <c r="A140" s="60"/>
      <c r="B140" s="61"/>
      <c r="C140" s="61"/>
      <c r="D140" s="61"/>
      <c r="E140" s="61"/>
      <c r="F140" s="234"/>
      <c r="G140" s="62"/>
      <c r="H140" s="63"/>
    </row>
    <row r="141" spans="1:8" x14ac:dyDescent="0.25">
      <c r="A141" s="59" t="str">
        <f>'Orçamento '!A175</f>
        <v>8.6.10</v>
      </c>
      <c r="B141" s="131" t="str">
        <f>'Orçamento '!B175</f>
        <v>TJMMG-CP-23</v>
      </c>
      <c r="C141" s="131" t="str">
        <f>'Orçamento '!C175</f>
        <v>PRÓPRIO</v>
      </c>
      <c r="D141" s="132" t="str">
        <f>'Orçamento '!D175</f>
        <v>NOBREAK 30 KVA TRIFÁSICO - FORNECIMENTO E INTALAÇÃO</v>
      </c>
      <c r="E141" s="131" t="str">
        <f>'Orçamento '!E175</f>
        <v>UN</v>
      </c>
      <c r="F141" s="233">
        <v>1</v>
      </c>
      <c r="G141" s="65">
        <f ca="1">SUM(H142:H144)</f>
        <v>53314.32</v>
      </c>
      <c r="H141" s="66">
        <f ca="1">G141*F141</f>
        <v>53314.32</v>
      </c>
    </row>
    <row r="142" spans="1:8" x14ac:dyDescent="0.25">
      <c r="A142" s="60"/>
      <c r="B142" s="61">
        <v>88264</v>
      </c>
      <c r="C142" s="61" t="s">
        <v>17</v>
      </c>
      <c r="D142" s="61" t="s">
        <v>41</v>
      </c>
      <c r="E142" s="61" t="s">
        <v>105</v>
      </c>
      <c r="F142" s="234">
        <v>4</v>
      </c>
      <c r="G142" s="62">
        <v>27.8</v>
      </c>
      <c r="H142" s="63">
        <f t="shared" ref="H142:H144" si="19">G142*F142</f>
        <v>111.2</v>
      </c>
    </row>
    <row r="143" spans="1:8" x14ac:dyDescent="0.25">
      <c r="A143" s="60"/>
      <c r="B143" s="133" t="s">
        <v>288</v>
      </c>
      <c r="C143" s="61" t="s">
        <v>17</v>
      </c>
      <c r="D143" s="134" t="s">
        <v>40</v>
      </c>
      <c r="E143" s="61" t="s">
        <v>105</v>
      </c>
      <c r="F143" s="254">
        <v>4</v>
      </c>
      <c r="G143" s="62">
        <v>23.03</v>
      </c>
      <c r="H143" s="63">
        <f t="shared" si="19"/>
        <v>92.12</v>
      </c>
    </row>
    <row r="144" spans="1:8" x14ac:dyDescent="0.25">
      <c r="A144" s="60"/>
      <c r="B144" s="133" t="str">
        <f>'COT.'!A332</f>
        <v>COT-56</v>
      </c>
      <c r="C144" s="61" t="s">
        <v>19</v>
      </c>
      <c r="D144" s="61" t="str">
        <f>'COT.'!B332</f>
        <v>NOBREAK 30 KVA TRIFÁSICO</v>
      </c>
      <c r="E144" s="61" t="s">
        <v>474</v>
      </c>
      <c r="F144" s="61">
        <v>1</v>
      </c>
      <c r="G144" s="62">
        <f ca="1">'COT.'!E332</f>
        <v>53111</v>
      </c>
      <c r="H144" s="63">
        <f t="shared" ca="1" si="19"/>
        <v>53111</v>
      </c>
    </row>
    <row r="145" spans="1:9" x14ac:dyDescent="0.25">
      <c r="A145" s="60"/>
      <c r="B145" s="61"/>
      <c r="C145" s="61"/>
      <c r="D145" s="61"/>
      <c r="E145" s="61"/>
      <c r="F145" s="234"/>
      <c r="G145" s="62"/>
      <c r="H145" s="63"/>
    </row>
    <row r="146" spans="1:9" ht="30" x14ac:dyDescent="0.25">
      <c r="A146" s="59" t="str">
        <f>'Orçamento '!A194</f>
        <v>9.2.7</v>
      </c>
      <c r="B146" s="131" t="str">
        <f>'Orçamento '!B194</f>
        <v xml:space="preserve"> TJMMG-CP-24</v>
      </c>
      <c r="C146" s="131" t="str">
        <f>'Orçamento '!C194</f>
        <v xml:space="preserve">PRÓPRIO </v>
      </c>
      <c r="D146" s="132" t="str">
        <f>'Orçamento '!D194</f>
        <v>FORNECIMENTO E INSTALAÇÃO DE PARAFUSO PHILIPS M5X15MM E PORCA GAIOLA M5 PARA RACK</v>
      </c>
      <c r="E146" s="131" t="str">
        <f>'Orçamento '!E194</f>
        <v>UN</v>
      </c>
      <c r="F146" s="233">
        <v>1</v>
      </c>
      <c r="G146" s="65">
        <f ca="1">SUM(H147:H148)</f>
        <v>3.3191666666666668</v>
      </c>
      <c r="H146" s="66">
        <f ca="1">G146*F146</f>
        <v>3.3191666666666668</v>
      </c>
    </row>
    <row r="147" spans="1:9" x14ac:dyDescent="0.25">
      <c r="A147" s="60"/>
      <c r="B147" s="61">
        <v>88247</v>
      </c>
      <c r="C147" s="61" t="s">
        <v>17</v>
      </c>
      <c r="D147" s="61" t="s">
        <v>456</v>
      </c>
      <c r="E147" s="61" t="s">
        <v>105</v>
      </c>
      <c r="F147" s="234">
        <f>5/60</f>
        <v>8.3333333333333329E-2</v>
      </c>
      <c r="G147" s="62">
        <v>23.03</v>
      </c>
      <c r="H147" s="63">
        <f t="shared" ref="H147" si="20">G147*F147</f>
        <v>1.9191666666666667</v>
      </c>
    </row>
    <row r="148" spans="1:9" x14ac:dyDescent="0.25">
      <c r="A148" s="60"/>
      <c r="B148" s="133" t="str">
        <f>'COT.'!A302</f>
        <v>COT-51</v>
      </c>
      <c r="C148" s="37" t="s">
        <v>19</v>
      </c>
      <c r="D148" s="134" t="str">
        <f>'COT.'!B302</f>
        <v>PARAFUSO PHILIPS M5X15MM E PORCA GAIOLA M5 PARA RACK</v>
      </c>
      <c r="E148" s="61" t="s">
        <v>144</v>
      </c>
      <c r="F148" s="234">
        <v>1</v>
      </c>
      <c r="G148" s="62">
        <f ca="1">'COT.'!E302</f>
        <v>1.4</v>
      </c>
      <c r="H148" s="63">
        <f ca="1">G148*F148</f>
        <v>1.4</v>
      </c>
    </row>
    <row r="149" spans="1:9" x14ac:dyDescent="0.25">
      <c r="A149" s="60"/>
      <c r="B149" s="61"/>
      <c r="C149" s="61"/>
      <c r="D149" s="61"/>
      <c r="E149" s="61"/>
      <c r="F149" s="234"/>
      <c r="G149" s="62"/>
      <c r="H149" s="63"/>
    </row>
    <row r="150" spans="1:9" x14ac:dyDescent="0.25">
      <c r="A150" s="59" t="str">
        <f>'Orçamento '!A203</f>
        <v>9.2.16</v>
      </c>
      <c r="B150" s="131" t="str">
        <f>'Orçamento '!B203</f>
        <v xml:space="preserve"> TJMMG-CP-25</v>
      </c>
      <c r="C150" s="131" t="str">
        <f>'Orçamento '!C203</f>
        <v xml:space="preserve">PRÓPRIO </v>
      </c>
      <c r="D150" s="132" t="str">
        <f>'Orçamento '!D203</f>
        <v>PATCH PANEL DESCARREGADO 19'' - 1U</v>
      </c>
      <c r="E150" s="131" t="str">
        <f>'Orçamento '!E203</f>
        <v>UN</v>
      </c>
      <c r="F150" s="233">
        <v>1</v>
      </c>
      <c r="G150" s="65">
        <f ca="1">SUM(H151:H153)</f>
        <v>516.54</v>
      </c>
      <c r="H150" s="66">
        <f ca="1">G150*F150</f>
        <v>516.54</v>
      </c>
    </row>
    <row r="151" spans="1:9" x14ac:dyDescent="0.25">
      <c r="A151" s="60"/>
      <c r="B151" s="61">
        <v>88264</v>
      </c>
      <c r="C151" s="61" t="s">
        <v>17</v>
      </c>
      <c r="D151" s="61" t="s">
        <v>41</v>
      </c>
      <c r="E151" s="61" t="s">
        <v>105</v>
      </c>
      <c r="F151" s="234">
        <v>8</v>
      </c>
      <c r="G151" s="62">
        <v>27.8</v>
      </c>
      <c r="H151" s="63">
        <f t="shared" ref="H151:H153" si="21">G151*F151</f>
        <v>222.4</v>
      </c>
    </row>
    <row r="152" spans="1:9" x14ac:dyDescent="0.25">
      <c r="A152" s="60"/>
      <c r="B152" s="133" t="s">
        <v>288</v>
      </c>
      <c r="C152" s="61" t="s">
        <v>17</v>
      </c>
      <c r="D152" s="134" t="s">
        <v>40</v>
      </c>
      <c r="E152" s="61" t="s">
        <v>105</v>
      </c>
      <c r="F152" s="234">
        <v>8</v>
      </c>
      <c r="G152" s="62">
        <v>23.03</v>
      </c>
      <c r="H152" s="63">
        <f t="shared" si="21"/>
        <v>184.24</v>
      </c>
    </row>
    <row r="153" spans="1:9" x14ac:dyDescent="0.25">
      <c r="A153" s="60"/>
      <c r="B153" s="133" t="str">
        <f>'COT.'!A320</f>
        <v>COT-54</v>
      </c>
      <c r="C153" s="37" t="s">
        <v>19</v>
      </c>
      <c r="D153" s="61" t="str">
        <f>'COT.'!B320</f>
        <v>PATCH PANEL DESCARREGADO 19'' - 1U</v>
      </c>
      <c r="E153" s="61" t="s">
        <v>144</v>
      </c>
      <c r="F153" s="234">
        <v>1</v>
      </c>
      <c r="G153" s="62">
        <f ca="1">'COT.'!E320</f>
        <v>109.9</v>
      </c>
      <c r="H153" s="63">
        <f t="shared" ca="1" si="21"/>
        <v>109.9</v>
      </c>
    </row>
    <row r="154" spans="1:9" x14ac:dyDescent="0.25">
      <c r="A154" s="93"/>
      <c r="E154" s="61"/>
      <c r="F154" s="37"/>
      <c r="G154" s="111"/>
      <c r="H154" s="63"/>
    </row>
    <row r="155" spans="1:9" x14ac:dyDescent="0.25">
      <c r="A155" s="59" t="str">
        <f>'Orçamento '!A204</f>
        <v>9.2.17</v>
      </c>
      <c r="B155" s="131" t="str">
        <f>'Orçamento '!B204</f>
        <v xml:space="preserve"> TJMMG-CP-26</v>
      </c>
      <c r="C155" s="131" t="str">
        <f>'Orçamento '!C204</f>
        <v xml:space="preserve">PRÓPRIO </v>
      </c>
      <c r="D155" s="132" t="str">
        <f>'Orçamento '!D204</f>
        <v>ORGANIZAR RACK EXISTENTE E REALIZAR A IDENTIFICAÇÃO DOS PONTOS</v>
      </c>
      <c r="E155" s="131" t="str">
        <f>'Orçamento '!E204</f>
        <v>UN</v>
      </c>
      <c r="F155" s="233">
        <v>1</v>
      </c>
      <c r="G155" s="65">
        <f>SUM(H156:H157)</f>
        <v>3300.48</v>
      </c>
      <c r="H155" s="66">
        <f>G155*F155</f>
        <v>3300.48</v>
      </c>
    </row>
    <row r="156" spans="1:9" x14ac:dyDescent="0.25">
      <c r="A156" s="60"/>
      <c r="B156" s="61">
        <v>88247</v>
      </c>
      <c r="C156" s="61" t="s">
        <v>17</v>
      </c>
      <c r="D156" s="61" t="s">
        <v>456</v>
      </c>
      <c r="E156" s="61" t="s">
        <v>105</v>
      </c>
      <c r="F156" s="234">
        <f>F157</f>
        <v>64</v>
      </c>
      <c r="G156" s="62">
        <v>23.03</v>
      </c>
      <c r="H156" s="63">
        <f t="shared" ref="H156:H157" si="22">G156*F156</f>
        <v>1473.92</v>
      </c>
    </row>
    <row r="157" spans="1:9" x14ac:dyDescent="0.25">
      <c r="A157" s="93"/>
      <c r="B157" s="61">
        <v>88264</v>
      </c>
      <c r="C157" s="61" t="s">
        <v>17</v>
      </c>
      <c r="D157" s="61" t="s">
        <v>41</v>
      </c>
      <c r="E157" s="61" t="s">
        <v>105</v>
      </c>
      <c r="F157" s="234">
        <f>8*8</f>
        <v>64</v>
      </c>
      <c r="G157" s="62">
        <v>28.54</v>
      </c>
      <c r="H157" s="63">
        <f t="shared" si="22"/>
        <v>1826.56</v>
      </c>
      <c r="I157" s="37"/>
    </row>
    <row r="158" spans="1:9" x14ac:dyDescent="0.25">
      <c r="A158" s="60"/>
      <c r="B158" s="61"/>
      <c r="C158" s="61"/>
      <c r="D158" s="61"/>
      <c r="E158" s="61"/>
      <c r="F158" s="234"/>
      <c r="G158" s="62"/>
      <c r="H158" s="63"/>
    </row>
    <row r="159" spans="1:9" x14ac:dyDescent="0.25">
      <c r="A159" s="59" t="str">
        <f>'Orçamento '!A$214</f>
        <v>9.5.3</v>
      </c>
      <c r="B159" s="131" t="str">
        <f>'Orçamento '!B$214</f>
        <v xml:space="preserve"> TJMMG-CP-27</v>
      </c>
      <c r="C159" s="131" t="str">
        <f>'Orçamento '!C$214</f>
        <v xml:space="preserve">PRÓPRIO </v>
      </c>
      <c r="D159" s="132" t="str">
        <f>'Orçamento '!D$214</f>
        <v>ABRAÇADEIRA EM AÇO INOX, TIPO "D" 1"</v>
      </c>
      <c r="E159" s="131" t="str">
        <f>'Orçamento '!E$214</f>
        <v>UN</v>
      </c>
      <c r="F159" s="233">
        <v>1</v>
      </c>
      <c r="G159" s="65">
        <f>SUM(H160:H162)</f>
        <v>6.3570000000000002</v>
      </c>
      <c r="H159" s="66">
        <f>G159*F159</f>
        <v>6.3570000000000002</v>
      </c>
    </row>
    <row r="160" spans="1:9" x14ac:dyDescent="0.25">
      <c r="A160" s="60"/>
      <c r="B160" s="61">
        <v>88264</v>
      </c>
      <c r="C160" s="61" t="s">
        <v>17</v>
      </c>
      <c r="D160" s="61" t="s">
        <v>41</v>
      </c>
      <c r="E160" s="61" t="s">
        <v>105</v>
      </c>
      <c r="F160" s="234">
        <v>0.1</v>
      </c>
      <c r="G160" s="62">
        <v>28.54</v>
      </c>
      <c r="H160" s="63">
        <f t="shared" ref="H160:H161" si="23">G160*F160</f>
        <v>2.8540000000000001</v>
      </c>
    </row>
    <row r="161" spans="1:8" x14ac:dyDescent="0.25">
      <c r="A161" s="60"/>
      <c r="B161" s="61">
        <v>88247</v>
      </c>
      <c r="C161" s="61" t="s">
        <v>17</v>
      </c>
      <c r="D161" s="61" t="s">
        <v>456</v>
      </c>
      <c r="E161" s="61" t="s">
        <v>105</v>
      </c>
      <c r="F161" s="234">
        <v>0.1</v>
      </c>
      <c r="G161" s="62">
        <v>23.03</v>
      </c>
      <c r="H161" s="63">
        <f t="shared" si="23"/>
        <v>2.3030000000000004</v>
      </c>
    </row>
    <row r="162" spans="1:8" x14ac:dyDescent="0.25">
      <c r="A162" s="60"/>
      <c r="B162" s="61">
        <v>3309</v>
      </c>
      <c r="C162" s="61" t="s">
        <v>140</v>
      </c>
      <c r="D162" s="134" t="s">
        <v>464</v>
      </c>
      <c r="E162" s="61" t="s">
        <v>144</v>
      </c>
      <c r="F162" s="234">
        <v>1</v>
      </c>
      <c r="G162" s="62">
        <v>1.2</v>
      </c>
      <c r="H162" s="63">
        <f>G162*F162</f>
        <v>1.2</v>
      </c>
    </row>
    <row r="163" spans="1:8" x14ac:dyDescent="0.25">
      <c r="A163" s="60"/>
      <c r="B163" s="61"/>
      <c r="C163" s="61"/>
      <c r="D163" s="61"/>
      <c r="E163" s="61"/>
      <c r="F163" s="234"/>
      <c r="G163" s="62"/>
      <c r="H163" s="63"/>
    </row>
    <row r="164" spans="1:8" ht="45" x14ac:dyDescent="0.25">
      <c r="A164" s="59" t="str">
        <f>'Orçamento '!A219</f>
        <v>9.5.8</v>
      </c>
      <c r="B164" s="131" t="str">
        <f>'Orçamento '!B219</f>
        <v xml:space="preserve"> TJMMG-CP-28</v>
      </c>
      <c r="C164" s="131" t="str">
        <f>'Orçamento '!C219</f>
        <v xml:space="preserve">PRÓPRIO </v>
      </c>
      <c r="D164" s="132" t="str">
        <f>'Orçamento '!D219</f>
        <v>CONJUNTO DE QUATRO (4) TOMADAS DE DADOS (CONECTOR RJ45 CAT .6E), COM PLACA 4"X 4" DE UM (4) POSTOS, INCLUSIVE FORNECIMENTO, INSTALAÇÃO, SUPORTE, MÓDULO E PLACA</v>
      </c>
      <c r="E164" s="131" t="str">
        <f>'Orçamento '!E219</f>
        <v>UN</v>
      </c>
      <c r="F164" s="233">
        <v>1</v>
      </c>
      <c r="G164" s="65">
        <f>SUM(H165:H169)</f>
        <v>173.947</v>
      </c>
      <c r="H164" s="66">
        <f>G164*F164</f>
        <v>173.947</v>
      </c>
    </row>
    <row r="165" spans="1:8" x14ac:dyDescent="0.25">
      <c r="A165" s="60"/>
      <c r="B165" s="61">
        <v>88264</v>
      </c>
      <c r="C165" s="61" t="s">
        <v>17</v>
      </c>
      <c r="D165" s="61" t="s">
        <v>41</v>
      </c>
      <c r="E165" s="61" t="s">
        <v>105</v>
      </c>
      <c r="F165" s="234">
        <v>0.1</v>
      </c>
      <c r="G165" s="62">
        <v>28.54</v>
      </c>
      <c r="H165" s="63">
        <f t="shared" ref="H165:H166" si="24">G165*F165</f>
        <v>2.8540000000000001</v>
      </c>
    </row>
    <row r="166" spans="1:8" x14ac:dyDescent="0.25">
      <c r="A166" s="60"/>
      <c r="B166" s="61">
        <v>88247</v>
      </c>
      <c r="C166" s="61" t="s">
        <v>17</v>
      </c>
      <c r="D166" s="61" t="s">
        <v>456</v>
      </c>
      <c r="E166" s="61" t="s">
        <v>105</v>
      </c>
      <c r="F166" s="234">
        <v>0.1</v>
      </c>
      <c r="G166" s="62">
        <v>23.03</v>
      </c>
      <c r="H166" s="63">
        <f t="shared" si="24"/>
        <v>2.3030000000000004</v>
      </c>
    </row>
    <row r="167" spans="1:8" ht="30" x14ac:dyDescent="0.25">
      <c r="A167" s="60"/>
      <c r="B167" s="61" t="s">
        <v>724</v>
      </c>
      <c r="C167" s="61" t="s">
        <v>6</v>
      </c>
      <c r="D167" s="134" t="s">
        <v>723</v>
      </c>
      <c r="E167" s="61" t="s">
        <v>606</v>
      </c>
      <c r="F167" s="234">
        <v>4</v>
      </c>
      <c r="G167" s="62">
        <v>37.76</v>
      </c>
      <c r="H167" s="63">
        <f>G167*F167</f>
        <v>151.04</v>
      </c>
    </row>
    <row r="168" spans="1:8" ht="30" x14ac:dyDescent="0.25">
      <c r="A168" s="60"/>
      <c r="B168" s="61" t="s">
        <v>725</v>
      </c>
      <c r="C168" s="61" t="s">
        <v>6</v>
      </c>
      <c r="D168" s="134" t="s">
        <v>726</v>
      </c>
      <c r="E168" s="61" t="s">
        <v>144</v>
      </c>
      <c r="F168" s="234">
        <v>1</v>
      </c>
      <c r="G168" s="62">
        <v>9.5</v>
      </c>
      <c r="H168" s="63">
        <f>G168*F168</f>
        <v>9.5</v>
      </c>
    </row>
    <row r="169" spans="1:8" ht="30" x14ac:dyDescent="0.25">
      <c r="A169" s="60"/>
      <c r="B169" s="61" t="s">
        <v>727</v>
      </c>
      <c r="C169" s="61" t="s">
        <v>6</v>
      </c>
      <c r="D169" s="134" t="s">
        <v>974</v>
      </c>
      <c r="E169" s="61" t="s">
        <v>144</v>
      </c>
      <c r="F169" s="234">
        <v>1</v>
      </c>
      <c r="G169" s="62">
        <v>8.25</v>
      </c>
      <c r="H169" s="63">
        <f>G169*F169</f>
        <v>8.25</v>
      </c>
    </row>
    <row r="170" spans="1:8" x14ac:dyDescent="0.25">
      <c r="A170" s="60"/>
      <c r="B170" s="61"/>
      <c r="C170" s="61"/>
      <c r="D170" s="61"/>
      <c r="E170" s="61"/>
      <c r="F170" s="234"/>
      <c r="G170" s="62"/>
      <c r="H170" s="63"/>
    </row>
    <row r="171" spans="1:8" x14ac:dyDescent="0.25">
      <c r="A171" s="59" t="str">
        <f>'Orçamento '!A$241</f>
        <v>10.1</v>
      </c>
      <c r="B171" s="131" t="str">
        <f>'Orçamento '!B$241</f>
        <v xml:space="preserve"> TJMMG-CP-29</v>
      </c>
      <c r="C171" s="131" t="str">
        <f>'Orçamento '!C$241</f>
        <v>PRÓPRIO</v>
      </c>
      <c r="D171" s="132" t="str">
        <f>'Orçamento '!D$241</f>
        <v>REMOÇÃO DE DETECTOR DE FUMAÇA</v>
      </c>
      <c r="E171" s="131" t="str">
        <f>'Orçamento '!E$241</f>
        <v>UN</v>
      </c>
      <c r="F171" s="233">
        <v>1</v>
      </c>
      <c r="G171" s="65">
        <f>SUM(H172:H173)</f>
        <v>25.785</v>
      </c>
      <c r="H171" s="66">
        <f>G171*F171</f>
        <v>25.785</v>
      </c>
    </row>
    <row r="172" spans="1:8" x14ac:dyDescent="0.25">
      <c r="A172" s="60"/>
      <c r="B172" s="61">
        <v>88264</v>
      </c>
      <c r="C172" s="61" t="s">
        <v>17</v>
      </c>
      <c r="D172" s="61" t="s">
        <v>41</v>
      </c>
      <c r="E172" s="61" t="s">
        <v>105</v>
      </c>
      <c r="F172" s="234">
        <v>0.5</v>
      </c>
      <c r="G172" s="62">
        <v>28.54</v>
      </c>
      <c r="H172" s="63">
        <f t="shared" ref="H172:H173" si="25">G172*F172</f>
        <v>14.27</v>
      </c>
    </row>
    <row r="173" spans="1:8" x14ac:dyDescent="0.25">
      <c r="A173" s="60"/>
      <c r="B173" s="61">
        <v>88247</v>
      </c>
      <c r="C173" s="61" t="s">
        <v>17</v>
      </c>
      <c r="D173" s="61" t="s">
        <v>456</v>
      </c>
      <c r="E173" s="61" t="s">
        <v>105</v>
      </c>
      <c r="F173" s="234">
        <v>0.5</v>
      </c>
      <c r="G173" s="62">
        <v>23.03</v>
      </c>
      <c r="H173" s="63">
        <f t="shared" si="25"/>
        <v>11.515000000000001</v>
      </c>
    </row>
    <row r="174" spans="1:8" x14ac:dyDescent="0.25">
      <c r="A174" s="60"/>
      <c r="B174" s="61"/>
      <c r="C174" s="61"/>
      <c r="D174" s="61"/>
      <c r="E174" s="61"/>
      <c r="F174" s="234"/>
      <c r="G174" s="62"/>
      <c r="H174" s="63"/>
    </row>
    <row r="175" spans="1:8" x14ac:dyDescent="0.25">
      <c r="A175" s="59" t="str">
        <f>'Orçamento '!A$242</f>
        <v>10.2</v>
      </c>
      <c r="B175" s="131" t="str">
        <f>'Orçamento '!B242</f>
        <v xml:space="preserve"> TJMMG-CP-30</v>
      </c>
      <c r="C175" s="131" t="str">
        <f>'Orçamento '!C$241</f>
        <v>PRÓPRIO</v>
      </c>
      <c r="D175" s="132" t="str">
        <f>'Orçamento '!D242</f>
        <v>REINSTALAÇÃO DE DETECTOR DE FUMAÇA</v>
      </c>
      <c r="E175" s="131" t="str">
        <f>'Orçamento '!E$241</f>
        <v>UN</v>
      </c>
      <c r="F175" s="233">
        <v>1</v>
      </c>
      <c r="G175" s="65">
        <f>SUM(H176:H177)</f>
        <v>25.785</v>
      </c>
      <c r="H175" s="66">
        <f>G175*F175</f>
        <v>25.785</v>
      </c>
    </row>
    <row r="176" spans="1:8" x14ac:dyDescent="0.25">
      <c r="A176" s="60"/>
      <c r="B176" s="61">
        <v>88264</v>
      </c>
      <c r="C176" s="61" t="s">
        <v>17</v>
      </c>
      <c r="D176" s="61" t="s">
        <v>41</v>
      </c>
      <c r="E176" s="61" t="s">
        <v>105</v>
      </c>
      <c r="F176" s="234">
        <v>0.5</v>
      </c>
      <c r="G176" s="62">
        <v>28.54</v>
      </c>
      <c r="H176" s="63">
        <f t="shared" ref="H176:H177" si="26">G176*F176</f>
        <v>14.27</v>
      </c>
    </row>
    <row r="177" spans="1:8" x14ac:dyDescent="0.25">
      <c r="A177" s="60"/>
      <c r="B177" s="61">
        <v>88247</v>
      </c>
      <c r="C177" s="61" t="s">
        <v>17</v>
      </c>
      <c r="D177" s="61" t="s">
        <v>456</v>
      </c>
      <c r="E177" s="61" t="s">
        <v>105</v>
      </c>
      <c r="F177" s="234">
        <v>0.5</v>
      </c>
      <c r="G177" s="62">
        <v>23.03</v>
      </c>
      <c r="H177" s="63">
        <f t="shared" si="26"/>
        <v>11.515000000000001</v>
      </c>
    </row>
    <row r="178" spans="1:8" x14ac:dyDescent="0.25">
      <c r="A178" s="60"/>
      <c r="B178" s="61"/>
      <c r="C178" s="61"/>
      <c r="D178" s="61"/>
      <c r="E178" s="61"/>
      <c r="F178" s="234"/>
      <c r="G178" s="62"/>
      <c r="H178" s="63"/>
    </row>
    <row r="179" spans="1:8" ht="30" x14ac:dyDescent="0.25">
      <c r="A179" s="59" t="str">
        <f>'Orçamento '!A$248</f>
        <v>11.3</v>
      </c>
      <c r="B179" s="131" t="str">
        <f>'Orçamento '!B$248</f>
        <v xml:space="preserve"> TJMMG-CP-31</v>
      </c>
      <c r="C179" s="131" t="str">
        <f>'Orçamento '!C$248</f>
        <v xml:space="preserve">PRÓPRIO </v>
      </c>
      <c r="D179" s="132" t="str">
        <f>'Orçamento '!D$248</f>
        <v>TUBO PVC, SERIE NORMAL, ESGOTO PREDIAL, DN 125 MM, FORNECIDO E INSTALADO EM RAMAL DE DESCARGA OU RAMAL DE ESGOTO SANITÁRIO.</v>
      </c>
      <c r="E179" s="131" t="str">
        <f>'Orçamento '!E$248</f>
        <v>M</v>
      </c>
      <c r="F179" s="233">
        <v>1</v>
      </c>
      <c r="G179" s="65">
        <f>SUM(H180:H183)</f>
        <v>100.550051</v>
      </c>
      <c r="H179" s="66">
        <f>G179*F179</f>
        <v>100.550051</v>
      </c>
    </row>
    <row r="180" spans="1:8" x14ac:dyDescent="0.25">
      <c r="A180" s="60"/>
      <c r="B180" s="61">
        <v>38383</v>
      </c>
      <c r="C180" s="61" t="s">
        <v>17</v>
      </c>
      <c r="D180" s="61" t="s">
        <v>605</v>
      </c>
      <c r="E180" s="61" t="s">
        <v>606</v>
      </c>
      <c r="F180" s="234">
        <v>2.47E-2</v>
      </c>
      <c r="G180" s="62">
        <v>2.61</v>
      </c>
      <c r="H180" s="63">
        <f t="shared" ref="H180:H183" si="27">G180*F180</f>
        <v>6.4466999999999997E-2</v>
      </c>
    </row>
    <row r="181" spans="1:8" ht="30" x14ac:dyDescent="0.25">
      <c r="A181" s="60"/>
      <c r="B181" s="61">
        <v>88248</v>
      </c>
      <c r="C181" s="61" t="s">
        <v>17</v>
      </c>
      <c r="D181" s="134" t="s">
        <v>607</v>
      </c>
      <c r="E181" s="61" t="s">
        <v>105</v>
      </c>
      <c r="F181" s="234">
        <v>0.44440000000000002</v>
      </c>
      <c r="G181" s="62">
        <v>21.98</v>
      </c>
      <c r="H181" s="63">
        <f t="shared" si="27"/>
        <v>9.7679120000000008</v>
      </c>
    </row>
    <row r="182" spans="1:8" x14ac:dyDescent="0.25">
      <c r="A182" s="60"/>
      <c r="B182" s="61">
        <v>88267</v>
      </c>
      <c r="C182" s="61" t="s">
        <v>17</v>
      </c>
      <c r="D182" s="134" t="s">
        <v>608</v>
      </c>
      <c r="E182" s="61" t="s">
        <v>105</v>
      </c>
      <c r="F182" s="234">
        <v>0.44440000000000002</v>
      </c>
      <c r="G182" s="62">
        <v>27.38</v>
      </c>
      <c r="H182" s="63">
        <f t="shared" ref="H182" si="28">G182*F182</f>
        <v>12.167672</v>
      </c>
    </row>
    <row r="183" spans="1:8" x14ac:dyDescent="0.25">
      <c r="A183" s="60"/>
      <c r="B183" s="61">
        <v>5886</v>
      </c>
      <c r="C183" s="61" t="s">
        <v>140</v>
      </c>
      <c r="D183" s="134" t="s">
        <v>609</v>
      </c>
      <c r="E183" s="61" t="s">
        <v>143</v>
      </c>
      <c r="F183" s="234">
        <v>1</v>
      </c>
      <c r="G183" s="62">
        <v>78.55</v>
      </c>
      <c r="H183" s="63">
        <f t="shared" si="27"/>
        <v>78.55</v>
      </c>
    </row>
    <row r="184" spans="1:8" x14ac:dyDescent="0.25">
      <c r="A184" s="60"/>
      <c r="B184" s="61"/>
      <c r="C184" s="61"/>
      <c r="D184" s="61"/>
      <c r="E184" s="61"/>
      <c r="F184" s="234"/>
      <c r="G184" s="62"/>
      <c r="H184" s="63"/>
    </row>
    <row r="185" spans="1:8" x14ac:dyDescent="0.25">
      <c r="A185" s="59" t="str">
        <f>'Orçamento '!A$251</f>
        <v>11.6</v>
      </c>
      <c r="B185" s="131" t="str">
        <f>'Orçamento '!B$251</f>
        <v xml:space="preserve"> TJMMG-CP-32</v>
      </c>
      <c r="C185" s="131" t="str">
        <f>'Orçamento '!C$251</f>
        <v xml:space="preserve">PRÓPRIO </v>
      </c>
      <c r="D185" s="132" t="str">
        <f>'Orçamento '!D$251</f>
        <v>GRELHAS PARA INSUFLAMENTO, MOD. AT-AG, TAM. 225x125mm</v>
      </c>
      <c r="E185" s="131" t="str">
        <f>'Orçamento '!E$251</f>
        <v>UN</v>
      </c>
      <c r="F185" s="233">
        <v>1</v>
      </c>
      <c r="G185" s="65">
        <f ca="1">SUM(H186:H187)</f>
        <v>87.858000000000004</v>
      </c>
      <c r="H185" s="66">
        <f ca="1">G185*F185</f>
        <v>87.858000000000004</v>
      </c>
    </row>
    <row r="186" spans="1:8" x14ac:dyDescent="0.25">
      <c r="A186" s="60"/>
      <c r="B186" s="61">
        <v>100308</v>
      </c>
      <c r="C186" s="61" t="s">
        <v>17</v>
      </c>
      <c r="D186" s="61" t="s">
        <v>880</v>
      </c>
      <c r="E186" s="61" t="s">
        <v>105</v>
      </c>
      <c r="F186" s="234">
        <v>0.2</v>
      </c>
      <c r="G186" s="62">
        <v>30.09</v>
      </c>
      <c r="H186" s="63">
        <f t="shared" ref="H186:H187" si="29">G186*F186</f>
        <v>6.0180000000000007</v>
      </c>
    </row>
    <row r="187" spans="1:8" x14ac:dyDescent="0.25">
      <c r="A187" s="60"/>
      <c r="B187" s="133" t="str">
        <f>'COT.'!$A$230</f>
        <v>COT-39</v>
      </c>
      <c r="C187" s="61" t="s">
        <v>19</v>
      </c>
      <c r="D187" s="61" t="str">
        <f>'COT.'!$B$230</f>
        <v>GRELHAS PARA INSUFLAMENTO, MOD. AT-AG, TAM. 225x125mm</v>
      </c>
      <c r="E187" s="61" t="s">
        <v>606</v>
      </c>
      <c r="F187" s="234">
        <v>1</v>
      </c>
      <c r="G187" s="62">
        <f ca="1">'COT.'!$E$230</f>
        <v>81.84</v>
      </c>
      <c r="H187" s="63">
        <f t="shared" ca="1" si="29"/>
        <v>81.84</v>
      </c>
    </row>
    <row r="188" spans="1:8" x14ac:dyDescent="0.25">
      <c r="A188" s="60"/>
      <c r="B188" s="61"/>
      <c r="C188" s="61"/>
      <c r="D188" s="61"/>
      <c r="E188" s="61"/>
      <c r="F188" s="234"/>
      <c r="G188" s="62"/>
      <c r="H188" s="63"/>
    </row>
    <row r="189" spans="1:8" x14ac:dyDescent="0.25">
      <c r="A189" s="59" t="str">
        <f>'Orçamento '!A$252</f>
        <v>11.7</v>
      </c>
      <c r="B189" s="131" t="str">
        <f>'Orçamento '!B$252</f>
        <v xml:space="preserve"> TJMMG-CP-33</v>
      </c>
      <c r="C189" s="131" t="str">
        <f>'Orçamento '!C$252</f>
        <v xml:space="preserve">PRÓPRIO </v>
      </c>
      <c r="D189" s="132" t="str">
        <f>'Orçamento '!D$252</f>
        <v>GRELHAS PARA CAPTAÇÃO DE AR EXTERIOR, MOD. GRA-100, TAM.  165x165mm</v>
      </c>
      <c r="E189" s="131" t="str">
        <f>'Orçamento '!E$252</f>
        <v>UN</v>
      </c>
      <c r="F189" s="233">
        <v>1</v>
      </c>
      <c r="G189" s="65">
        <f ca="1">SUM(H190:H191)</f>
        <v>35.968000000000004</v>
      </c>
      <c r="H189" s="66">
        <f ca="1">G189*F189</f>
        <v>35.968000000000004</v>
      </c>
    </row>
    <row r="190" spans="1:8" x14ac:dyDescent="0.25">
      <c r="A190" s="60"/>
      <c r="B190" s="61">
        <v>100308</v>
      </c>
      <c r="C190" s="61" t="s">
        <v>17</v>
      </c>
      <c r="D190" s="61" t="s">
        <v>880</v>
      </c>
      <c r="E190" s="61" t="s">
        <v>105</v>
      </c>
      <c r="F190" s="234">
        <v>0.2</v>
      </c>
      <c r="G190" s="62">
        <v>30.09</v>
      </c>
      <c r="H190" s="63">
        <f t="shared" ref="H190:H191" si="30">G190*F190</f>
        <v>6.0180000000000007</v>
      </c>
    </row>
    <row r="191" spans="1:8" x14ac:dyDescent="0.25">
      <c r="A191" s="60"/>
      <c r="B191" s="133" t="str">
        <f>'COT.'!$A$236</f>
        <v>COT-40</v>
      </c>
      <c r="C191" s="61" t="s">
        <v>19</v>
      </c>
      <c r="D191" s="61" t="str">
        <f>'COT.'!$B$236</f>
        <v>GRELHAS PARA CAPTAÇÃO DE AR EXTERIOR, MOD. GRA-100, TAM.  165x165mm</v>
      </c>
      <c r="E191" s="61" t="s">
        <v>606</v>
      </c>
      <c r="F191" s="234">
        <v>1</v>
      </c>
      <c r="G191" s="62">
        <f ca="1">'COT.'!$E$236</f>
        <v>29.95</v>
      </c>
      <c r="H191" s="63">
        <f t="shared" ca="1" si="30"/>
        <v>29.95</v>
      </c>
    </row>
    <row r="192" spans="1:8" x14ac:dyDescent="0.25">
      <c r="A192" s="60"/>
      <c r="B192" s="61"/>
      <c r="C192" s="61"/>
      <c r="D192" s="61"/>
      <c r="E192" s="61"/>
      <c r="F192" s="234"/>
      <c r="G192" s="62"/>
      <c r="H192" s="63"/>
    </row>
    <row r="193" spans="1:8" x14ac:dyDescent="0.25">
      <c r="A193" s="59" t="str">
        <f>'Orçamento '!A$253</f>
        <v>11.8</v>
      </c>
      <c r="B193" s="136" t="str">
        <f>'Orçamento '!B$253</f>
        <v xml:space="preserve"> TJMMG-CP-34</v>
      </c>
      <c r="C193" s="131" t="str">
        <f>'Orçamento '!C$253</f>
        <v xml:space="preserve">PRÓPRIO </v>
      </c>
      <c r="D193" s="132" t="str">
        <f>'Orçamento '!D$253</f>
        <v>GRELHAS PARA CAPTAÇÃO DE AR EXTERIOR, MOD. GRA-150, TAM.  190x190mm</v>
      </c>
      <c r="E193" s="131" t="str">
        <f>'Orçamento '!E$253</f>
        <v>UN</v>
      </c>
      <c r="F193" s="233">
        <v>1</v>
      </c>
      <c r="G193" s="65">
        <f ca="1">SUM(H194:H195)</f>
        <v>35.968000000000004</v>
      </c>
      <c r="H193" s="66">
        <f ca="1">G193*F193</f>
        <v>35.968000000000004</v>
      </c>
    </row>
    <row r="194" spans="1:8" x14ac:dyDescent="0.25">
      <c r="A194" s="60"/>
      <c r="B194" s="61">
        <v>100308</v>
      </c>
      <c r="C194" s="61" t="s">
        <v>17</v>
      </c>
      <c r="D194" s="61" t="s">
        <v>880</v>
      </c>
      <c r="E194" s="61" t="s">
        <v>105</v>
      </c>
      <c r="F194" s="234">
        <v>0.2</v>
      </c>
      <c r="G194" s="62">
        <v>30.09</v>
      </c>
      <c r="H194" s="63">
        <f t="shared" ref="H194:H195" si="31">G194*F194</f>
        <v>6.0180000000000007</v>
      </c>
    </row>
    <row r="195" spans="1:8" x14ac:dyDescent="0.25">
      <c r="A195" s="60"/>
      <c r="B195" s="133" t="str">
        <f>'COT.'!$A$242</f>
        <v>COT-41</v>
      </c>
      <c r="C195" s="61" t="s">
        <v>19</v>
      </c>
      <c r="D195" s="61" t="str">
        <f>'COT.'!$B$242</f>
        <v>GRELHAS PARA CAPTAÇÃO DE AR EXTERIOR, MOD. GRA-150, TAM.  190x190mm</v>
      </c>
      <c r="E195" s="61" t="s">
        <v>606</v>
      </c>
      <c r="F195" s="234">
        <v>1</v>
      </c>
      <c r="G195" s="62">
        <f ca="1">'COT.'!$E$242</f>
        <v>29.95</v>
      </c>
      <c r="H195" s="63">
        <f t="shared" ca="1" si="31"/>
        <v>29.95</v>
      </c>
    </row>
    <row r="196" spans="1:8" x14ac:dyDescent="0.25">
      <c r="A196" s="60"/>
      <c r="B196" s="61"/>
      <c r="C196" s="61"/>
      <c r="D196" s="61"/>
      <c r="E196" s="61"/>
      <c r="F196" s="234"/>
      <c r="G196" s="62"/>
      <c r="H196" s="63"/>
    </row>
    <row r="197" spans="1:8" x14ac:dyDescent="0.25">
      <c r="A197" s="59" t="str">
        <f>'Orçamento '!A$254</f>
        <v>11.9</v>
      </c>
      <c r="B197" s="136" t="str">
        <f>'Orçamento '!B$254</f>
        <v xml:space="preserve"> TJMMG-CP-35</v>
      </c>
      <c r="C197" s="131" t="str">
        <f>'Orçamento '!C$254</f>
        <v xml:space="preserve">PRÓPRIO </v>
      </c>
      <c r="D197" s="132" t="str">
        <f>'Orçamento '!D$254</f>
        <v>MINI VENTILADOR AXIAL 160/100 E CAIXA DE FILTRO MFL-C-100 C/ FILTRO M5</v>
      </c>
      <c r="E197" s="131" t="str">
        <f>'Orçamento '!E$254</f>
        <v>UN</v>
      </c>
      <c r="F197" s="233">
        <v>1</v>
      </c>
      <c r="G197" s="65">
        <f ca="1">SUM(H198:H201)</f>
        <v>864.56999999999994</v>
      </c>
      <c r="H197" s="66">
        <f ca="1">G197*F197</f>
        <v>864.56999999999994</v>
      </c>
    </row>
    <row r="198" spans="1:8" x14ac:dyDescent="0.25">
      <c r="A198" s="60"/>
      <c r="B198" s="61">
        <v>88264</v>
      </c>
      <c r="C198" s="61" t="s">
        <v>17</v>
      </c>
      <c r="D198" s="61" t="s">
        <v>41</v>
      </c>
      <c r="E198" s="61" t="s">
        <v>105</v>
      </c>
      <c r="F198" s="234">
        <v>1</v>
      </c>
      <c r="G198" s="62">
        <v>28.54</v>
      </c>
      <c r="H198" s="63">
        <f t="shared" ref="H198:H201" si="32">G198*F198</f>
        <v>28.54</v>
      </c>
    </row>
    <row r="199" spans="1:8" x14ac:dyDescent="0.25">
      <c r="A199" s="60"/>
      <c r="B199" s="61">
        <v>88247</v>
      </c>
      <c r="C199" s="61" t="s">
        <v>17</v>
      </c>
      <c r="D199" s="61" t="s">
        <v>456</v>
      </c>
      <c r="E199" s="61" t="s">
        <v>105</v>
      </c>
      <c r="F199" s="234">
        <v>1</v>
      </c>
      <c r="G199" s="62">
        <v>23.03</v>
      </c>
      <c r="H199" s="63">
        <f t="shared" si="32"/>
        <v>23.03</v>
      </c>
    </row>
    <row r="200" spans="1:8" x14ac:dyDescent="0.25">
      <c r="A200" s="60"/>
      <c r="B200" s="133" t="str">
        <f>'COT.'!$A$200</f>
        <v>COT-34</v>
      </c>
      <c r="C200" s="61" t="s">
        <v>156</v>
      </c>
      <c r="D200" s="61" t="str">
        <f>'COT.'!$B$200</f>
        <v>MINI VENTILADOR AXIAL 160/100</v>
      </c>
      <c r="E200" s="61" t="s">
        <v>606</v>
      </c>
      <c r="F200" s="234">
        <v>1</v>
      </c>
      <c r="G200" s="62">
        <f ca="1">'COT.'!$E$200</f>
        <v>367</v>
      </c>
      <c r="H200" s="63">
        <f t="shared" ref="H200" ca="1" si="33">G200*F200</f>
        <v>367</v>
      </c>
    </row>
    <row r="201" spans="1:8" x14ac:dyDescent="0.25">
      <c r="A201" s="60"/>
      <c r="B201" s="133" t="str">
        <f>'COT.'!$A$218</f>
        <v>COT-37</v>
      </c>
      <c r="C201" s="61" t="s">
        <v>19</v>
      </c>
      <c r="D201" s="61" t="str">
        <f>'COT.'!$B$218</f>
        <v>CAIXA DE FILTRO MFL-C-100 C/ FILTRO M5</v>
      </c>
      <c r="E201" s="61" t="s">
        <v>606</v>
      </c>
      <c r="F201" s="234">
        <v>1</v>
      </c>
      <c r="G201" s="62">
        <f ca="1">'COT.'!$E$218</f>
        <v>446</v>
      </c>
      <c r="H201" s="63">
        <f t="shared" ca="1" si="32"/>
        <v>446</v>
      </c>
    </row>
    <row r="202" spans="1:8" x14ac:dyDescent="0.25">
      <c r="A202" s="60"/>
      <c r="B202" s="61"/>
      <c r="C202" s="61"/>
      <c r="D202" s="61"/>
      <c r="E202" s="61"/>
      <c r="F202" s="234"/>
      <c r="G202" s="62"/>
      <c r="H202" s="63"/>
    </row>
    <row r="203" spans="1:8" ht="31.5" customHeight="1" x14ac:dyDescent="0.25">
      <c r="A203" s="59" t="str">
        <f>'Orçamento '!A$255</f>
        <v>11.10</v>
      </c>
      <c r="B203" s="136" t="str">
        <f>'Orçamento '!B$255</f>
        <v xml:space="preserve"> TJMMG-CP-36</v>
      </c>
      <c r="C203" s="131" t="str">
        <f>'Orçamento '!C$255</f>
        <v xml:space="preserve">PRÓPRIO </v>
      </c>
      <c r="D203" s="132" t="str">
        <f>'Orçamento '!D$255</f>
        <v>MINI VENTILADOR AXIAL 250/100 MIXVENT E CAIXA DE FILTRO MFL-C-100 C/ FILTRO M5</v>
      </c>
      <c r="E203" s="131" t="str">
        <f>'Orçamento '!E$255</f>
        <v>UN</v>
      </c>
      <c r="F203" s="233">
        <v>1</v>
      </c>
      <c r="G203" s="65">
        <f ca="1">SUM(H204:H207)</f>
        <v>925.47</v>
      </c>
      <c r="H203" s="66">
        <f ca="1">G203*F203</f>
        <v>925.47</v>
      </c>
    </row>
    <row r="204" spans="1:8" x14ac:dyDescent="0.25">
      <c r="A204" s="60"/>
      <c r="B204" s="61">
        <v>88264</v>
      </c>
      <c r="C204" s="61" t="s">
        <v>17</v>
      </c>
      <c r="D204" s="61" t="s">
        <v>41</v>
      </c>
      <c r="E204" s="61" t="s">
        <v>105</v>
      </c>
      <c r="F204" s="234">
        <v>1</v>
      </c>
      <c r="G204" s="62">
        <v>28.54</v>
      </c>
      <c r="H204" s="63">
        <f t="shared" ref="H204:H207" si="34">G204*F204</f>
        <v>28.54</v>
      </c>
    </row>
    <row r="205" spans="1:8" x14ac:dyDescent="0.25">
      <c r="A205" s="60"/>
      <c r="B205" s="61">
        <v>88247</v>
      </c>
      <c r="C205" s="61" t="s">
        <v>17</v>
      </c>
      <c r="D205" s="61" t="s">
        <v>456</v>
      </c>
      <c r="E205" s="61" t="s">
        <v>105</v>
      </c>
      <c r="F205" s="234">
        <v>1</v>
      </c>
      <c r="G205" s="62">
        <v>23.03</v>
      </c>
      <c r="H205" s="63">
        <f t="shared" si="34"/>
        <v>23.03</v>
      </c>
    </row>
    <row r="206" spans="1:8" x14ac:dyDescent="0.25">
      <c r="A206" s="60"/>
      <c r="B206" s="133" t="str">
        <f>'COT.'!$A$206</f>
        <v>COT-35</v>
      </c>
      <c r="C206" s="61" t="s">
        <v>19</v>
      </c>
      <c r="D206" s="61" t="str">
        <f>'COT.'!$B$206</f>
        <v>MINI VENTILADOR AXIAL 250/100 MIXVENT</v>
      </c>
      <c r="E206" s="61" t="s">
        <v>606</v>
      </c>
      <c r="F206" s="234">
        <v>1</v>
      </c>
      <c r="G206" s="62">
        <f ca="1">'COT.'!$E$206</f>
        <v>427.9</v>
      </c>
      <c r="H206" s="63">
        <f t="shared" ca="1" si="34"/>
        <v>427.9</v>
      </c>
    </row>
    <row r="207" spans="1:8" x14ac:dyDescent="0.25">
      <c r="A207" s="60"/>
      <c r="B207" s="133" t="str">
        <f>'COT.'!$A$218</f>
        <v>COT-37</v>
      </c>
      <c r="C207" s="61" t="s">
        <v>19</v>
      </c>
      <c r="D207" s="61" t="str">
        <f>'COT.'!$B$218</f>
        <v>CAIXA DE FILTRO MFL-C-100 C/ FILTRO M5</v>
      </c>
      <c r="E207" s="61" t="s">
        <v>606</v>
      </c>
      <c r="F207" s="234">
        <v>1</v>
      </c>
      <c r="G207" s="62">
        <f ca="1">'COT.'!$E$218</f>
        <v>446</v>
      </c>
      <c r="H207" s="63">
        <f t="shared" ca="1" si="34"/>
        <v>446</v>
      </c>
    </row>
    <row r="208" spans="1:8" x14ac:dyDescent="0.25">
      <c r="A208" s="60"/>
      <c r="B208" s="61"/>
      <c r="C208" s="61"/>
      <c r="D208" s="61"/>
      <c r="E208" s="61"/>
      <c r="F208" s="234"/>
      <c r="G208" s="62"/>
      <c r="H208" s="63"/>
    </row>
    <row r="209" spans="1:8" ht="45" customHeight="1" x14ac:dyDescent="0.25">
      <c r="A209" s="59" t="str">
        <f>'Orçamento '!A256</f>
        <v>11.11</v>
      </c>
      <c r="B209" s="136" t="str">
        <f>'Orçamento '!B256</f>
        <v xml:space="preserve"> TJMMG-CP-37</v>
      </c>
      <c r="C209" s="131" t="str">
        <f>'Orçamento '!C256</f>
        <v xml:space="preserve">PRÓPRIO </v>
      </c>
      <c r="D209" s="132" t="str">
        <f>'Orçamento '!D256</f>
        <v>MINI VENTILADOR AXIAL 350/125  E CAIXA DE FILTRO MFL-C-125 C/ FILTRO M5</v>
      </c>
      <c r="E209" s="131" t="str">
        <f>'Orçamento '!E256</f>
        <v>UN</v>
      </c>
      <c r="F209" s="233">
        <v>1</v>
      </c>
      <c r="G209" s="65">
        <f ca="1">SUM(H210:H213)</f>
        <v>1279.5700000000002</v>
      </c>
      <c r="H209" s="66">
        <f ca="1">G209*F209</f>
        <v>1279.5700000000002</v>
      </c>
    </row>
    <row r="210" spans="1:8" x14ac:dyDescent="0.25">
      <c r="A210" s="60"/>
      <c r="B210" s="61">
        <v>88264</v>
      </c>
      <c r="C210" s="61" t="s">
        <v>17</v>
      </c>
      <c r="D210" s="61" t="s">
        <v>41</v>
      </c>
      <c r="E210" s="61" t="s">
        <v>105</v>
      </c>
      <c r="F210" s="234">
        <v>1</v>
      </c>
      <c r="G210" s="62">
        <v>28.54</v>
      </c>
      <c r="H210" s="63">
        <f t="shared" ref="H210:H213" si="35">G210*F210</f>
        <v>28.54</v>
      </c>
    </row>
    <row r="211" spans="1:8" x14ac:dyDescent="0.25">
      <c r="A211" s="60"/>
      <c r="B211" s="61">
        <v>88247</v>
      </c>
      <c r="C211" s="61" t="s">
        <v>17</v>
      </c>
      <c r="D211" s="61" t="s">
        <v>456</v>
      </c>
      <c r="E211" s="61" t="s">
        <v>105</v>
      </c>
      <c r="F211" s="234">
        <v>1</v>
      </c>
      <c r="G211" s="62">
        <v>23.03</v>
      </c>
      <c r="H211" s="63">
        <f t="shared" si="35"/>
        <v>23.03</v>
      </c>
    </row>
    <row r="212" spans="1:8" x14ac:dyDescent="0.25">
      <c r="A212" s="60"/>
      <c r="B212" s="133" t="str">
        <f>'COT.'!A212</f>
        <v>COT-36</v>
      </c>
      <c r="C212" s="61" t="s">
        <v>19</v>
      </c>
      <c r="D212" s="61" t="str">
        <f>'COT.'!B212</f>
        <v xml:space="preserve">MINI VENTILADOR AXIAL 350/125 </v>
      </c>
      <c r="E212" s="61" t="s">
        <v>606</v>
      </c>
      <c r="F212" s="234">
        <v>1</v>
      </c>
      <c r="G212" s="62">
        <f ca="1">'COT.'!E212</f>
        <v>782</v>
      </c>
      <c r="H212" s="63">
        <f t="shared" ca="1" si="35"/>
        <v>782</v>
      </c>
    </row>
    <row r="213" spans="1:8" x14ac:dyDescent="0.25">
      <c r="A213" s="60"/>
      <c r="B213" s="133" t="str">
        <f>'COT.'!A224</f>
        <v>COT-38</v>
      </c>
      <c r="C213" s="61" t="s">
        <v>19</v>
      </c>
      <c r="D213" s="61" t="str">
        <f>'COT.'!B224</f>
        <v>CAIXA DE FILTRO MFL-C-125 C/ FILTRO M5</v>
      </c>
      <c r="E213" s="61" t="s">
        <v>606</v>
      </c>
      <c r="F213" s="234">
        <v>1</v>
      </c>
      <c r="G213" s="62">
        <f ca="1">'COT.'!E224</f>
        <v>446</v>
      </c>
      <c r="H213" s="63">
        <f t="shared" ca="1" si="35"/>
        <v>446</v>
      </c>
    </row>
    <row r="214" spans="1:8" x14ac:dyDescent="0.25">
      <c r="A214" s="60"/>
      <c r="B214" s="61"/>
      <c r="C214" s="61"/>
      <c r="D214" s="61"/>
      <c r="E214" s="61"/>
      <c r="F214" s="234"/>
      <c r="G214" s="62"/>
      <c r="H214" s="63"/>
    </row>
    <row r="215" spans="1:8" ht="30" x14ac:dyDescent="0.25">
      <c r="A215" s="67" t="str">
        <f>'Orçamento '!A$257</f>
        <v>11.12</v>
      </c>
      <c r="B215" s="139" t="str">
        <f>'Orçamento '!B$257</f>
        <v xml:space="preserve"> TJMMG-CP-38</v>
      </c>
      <c r="C215" s="132" t="str">
        <f>'Orçamento '!C$257</f>
        <v>PRÓPRIO</v>
      </c>
      <c r="D215" s="132" t="str">
        <f>'Orçamento '!D$257</f>
        <v>1 MULTSPLIT COM CONDENSADORA (50.000 BTU'S) + 5 EVAPORADORAS CASSETE 1 VIA DE 9.000 BTU'S/CADA</v>
      </c>
      <c r="E215" s="132" t="str">
        <f>'Orçamento '!E$257</f>
        <v>UN</v>
      </c>
      <c r="F215" s="233">
        <v>1</v>
      </c>
      <c r="G215" s="65">
        <f ca="1">SUM(H216:H227)</f>
        <v>38616.731336000004</v>
      </c>
      <c r="H215" s="66">
        <f ca="1">G215*F215</f>
        <v>38616.731336000004</v>
      </c>
    </row>
    <row r="216" spans="1:8" ht="30" x14ac:dyDescent="0.25">
      <c r="A216" s="60"/>
      <c r="B216" s="61">
        <v>1570</v>
      </c>
      <c r="C216" s="61" t="s">
        <v>17</v>
      </c>
      <c r="D216" s="134" t="s">
        <v>619</v>
      </c>
      <c r="E216" s="61" t="s">
        <v>606</v>
      </c>
      <c r="F216" s="234">
        <f>10*5</f>
        <v>50</v>
      </c>
      <c r="G216" s="62">
        <v>1.39</v>
      </c>
      <c r="H216" s="63">
        <f t="shared" ref="H216:H227" si="36">G216*F216</f>
        <v>69.5</v>
      </c>
    </row>
    <row r="217" spans="1:8" x14ac:dyDescent="0.25">
      <c r="A217" s="60"/>
      <c r="B217" s="133" t="s">
        <v>615</v>
      </c>
      <c r="C217" s="61" t="s">
        <v>17</v>
      </c>
      <c r="D217" s="134" t="s">
        <v>616</v>
      </c>
      <c r="E217" s="61" t="s">
        <v>606</v>
      </c>
      <c r="F217" s="234">
        <f>4*5</f>
        <v>20</v>
      </c>
      <c r="G217" s="62">
        <v>1.64</v>
      </c>
      <c r="H217" s="63">
        <f>G217*F217</f>
        <v>32.799999999999997</v>
      </c>
    </row>
    <row r="218" spans="1:8" ht="30" x14ac:dyDescent="0.25">
      <c r="A218" s="60"/>
      <c r="B218" s="61">
        <v>13348</v>
      </c>
      <c r="C218" s="61" t="s">
        <v>17</v>
      </c>
      <c r="D218" s="134" t="s">
        <v>620</v>
      </c>
      <c r="E218" s="61" t="s">
        <v>606</v>
      </c>
      <c r="F218" s="234">
        <f>4*5</f>
        <v>20</v>
      </c>
      <c r="G218" s="62">
        <v>1.63</v>
      </c>
      <c r="H218" s="63">
        <f t="shared" si="36"/>
        <v>32.599999999999994</v>
      </c>
    </row>
    <row r="219" spans="1:8" x14ac:dyDescent="0.25">
      <c r="A219" s="60"/>
      <c r="B219" s="133" t="s">
        <v>622</v>
      </c>
      <c r="C219" s="61" t="s">
        <v>17</v>
      </c>
      <c r="D219" s="134" t="s">
        <v>621</v>
      </c>
      <c r="E219" s="61" t="s">
        <v>143</v>
      </c>
      <c r="F219" s="234">
        <f>1.28*5</f>
        <v>6.4</v>
      </c>
      <c r="G219" s="62">
        <v>3.19</v>
      </c>
      <c r="H219" s="63">
        <f t="shared" si="36"/>
        <v>20.416</v>
      </c>
    </row>
    <row r="220" spans="1:8" x14ac:dyDescent="0.25">
      <c r="A220" s="60"/>
      <c r="B220" s="133" t="s">
        <v>623</v>
      </c>
      <c r="C220" s="61" t="s">
        <v>17</v>
      </c>
      <c r="D220" s="134" t="s">
        <v>624</v>
      </c>
      <c r="E220" s="61" t="s">
        <v>606</v>
      </c>
      <c r="F220" s="234">
        <f>8*5</f>
        <v>40</v>
      </c>
      <c r="G220" s="62">
        <v>0.41</v>
      </c>
      <c r="H220" s="63">
        <f t="shared" si="36"/>
        <v>16.399999999999999</v>
      </c>
    </row>
    <row r="221" spans="1:8" ht="30" x14ac:dyDescent="0.25">
      <c r="A221" s="60"/>
      <c r="B221" s="133" t="s">
        <v>626</v>
      </c>
      <c r="C221" s="61" t="s">
        <v>17</v>
      </c>
      <c r="D221" s="134" t="s">
        <v>625</v>
      </c>
      <c r="E221" s="61" t="s">
        <v>629</v>
      </c>
      <c r="F221" s="234">
        <v>0.2059</v>
      </c>
      <c r="G221" s="62">
        <v>359.98</v>
      </c>
      <c r="H221" s="63">
        <f t="shared" si="36"/>
        <v>74.119882000000004</v>
      </c>
    </row>
    <row r="222" spans="1:8" ht="30" x14ac:dyDescent="0.25">
      <c r="A222" s="60"/>
      <c r="B222" s="133" t="s">
        <v>627</v>
      </c>
      <c r="C222" s="61" t="s">
        <v>17</v>
      </c>
      <c r="D222" s="134" t="s">
        <v>628</v>
      </c>
      <c r="E222" s="61" t="s">
        <v>630</v>
      </c>
      <c r="F222" s="234">
        <v>1.5165999999999999</v>
      </c>
      <c r="G222" s="62">
        <v>185.69</v>
      </c>
      <c r="H222" s="63">
        <f t="shared" si="36"/>
        <v>281.61745400000001</v>
      </c>
    </row>
    <row r="223" spans="1:8" x14ac:dyDescent="0.25">
      <c r="A223" s="60"/>
      <c r="B223" s="61">
        <v>88243</v>
      </c>
      <c r="C223" s="61" t="s">
        <v>17</v>
      </c>
      <c r="D223" s="61" t="s">
        <v>618</v>
      </c>
      <c r="E223" s="61" t="s">
        <v>105</v>
      </c>
      <c r="F223" s="234">
        <f>8*5</f>
        <v>40</v>
      </c>
      <c r="G223" s="62">
        <v>23.81</v>
      </c>
      <c r="H223" s="63">
        <f t="shared" si="36"/>
        <v>952.4</v>
      </c>
    </row>
    <row r="224" spans="1:8" x14ac:dyDescent="0.25">
      <c r="A224" s="60"/>
      <c r="B224" s="61">
        <v>100308</v>
      </c>
      <c r="C224" s="61" t="s">
        <v>17</v>
      </c>
      <c r="D224" s="61" t="s">
        <v>880</v>
      </c>
      <c r="E224" s="61" t="s">
        <v>105</v>
      </c>
      <c r="F224" s="234">
        <f>8*5</f>
        <v>40</v>
      </c>
      <c r="G224" s="62">
        <v>30.09</v>
      </c>
      <c r="H224" s="63">
        <f t="shared" si="36"/>
        <v>1203.5999999999999</v>
      </c>
    </row>
    <row r="225" spans="1:8" ht="30" x14ac:dyDescent="0.25">
      <c r="A225" s="60"/>
      <c r="B225" s="133" t="str">
        <f>'COT.'!$A$254</f>
        <v>COT-43</v>
      </c>
      <c r="C225" s="61" t="s">
        <v>19</v>
      </c>
      <c r="D225" s="134" t="str">
        <f>'COT.'!$B$254</f>
        <v>1 MULTSPLIT COM CONDENSADORA (50.000 BTU'S) + 5 EVAPORADORAS CASSETE 1 VIA DE 9.000 BTU'S/CADA</v>
      </c>
      <c r="E225" s="61" t="s">
        <v>606</v>
      </c>
      <c r="F225" s="234">
        <v>1</v>
      </c>
      <c r="G225" s="62">
        <f ca="1">'COT.'!$E$254</f>
        <v>33533.4</v>
      </c>
      <c r="H225" s="63">
        <f t="shared" ca="1" si="36"/>
        <v>33533.4</v>
      </c>
    </row>
    <row r="226" spans="1:8" x14ac:dyDescent="0.25">
      <c r="A226" s="60"/>
      <c r="B226" s="133" t="str">
        <f>'COT.'!$A$278</f>
        <v>COT-47</v>
      </c>
      <c r="C226" s="61" t="s">
        <v>19</v>
      </c>
      <c r="D226" s="61" t="str">
        <f>'COT.'!$B$278</f>
        <v>CALÇOS DE BORRACHA NEOPRENE</v>
      </c>
      <c r="E226" s="61" t="s">
        <v>606</v>
      </c>
      <c r="F226" s="234">
        <v>4</v>
      </c>
      <c r="G226" s="62">
        <f ca="1">'COT.'!$E$278</f>
        <v>26.44</v>
      </c>
      <c r="H226" s="63">
        <f t="shared" ca="1" si="36"/>
        <v>105.76</v>
      </c>
    </row>
    <row r="227" spans="1:8" ht="30" x14ac:dyDescent="0.25">
      <c r="A227" s="60"/>
      <c r="B227" s="61" t="s">
        <v>882</v>
      </c>
      <c r="C227" s="61" t="s">
        <v>6</v>
      </c>
      <c r="D227" s="134" t="s">
        <v>881</v>
      </c>
      <c r="E227" s="61" t="s">
        <v>143</v>
      </c>
      <c r="F227" s="234">
        <f>(3*4+9.5+2)+(3*4+8.9+2)+(3*4+7+2)+(3*4+7+2)+(3*4+7+2)</f>
        <v>109.4</v>
      </c>
      <c r="G227" s="64">
        <v>20.97</v>
      </c>
      <c r="H227" s="91">
        <f t="shared" si="36"/>
        <v>2294.1179999999999</v>
      </c>
    </row>
    <row r="228" spans="1:8" ht="15" customHeight="1" x14ac:dyDescent="0.25">
      <c r="A228" s="60"/>
      <c r="B228" s="61"/>
      <c r="C228" s="61"/>
      <c r="D228" s="61"/>
      <c r="E228" s="61"/>
      <c r="F228" s="234"/>
      <c r="G228" s="62"/>
      <c r="H228" s="63"/>
    </row>
    <row r="229" spans="1:8" ht="30" x14ac:dyDescent="0.25">
      <c r="A229" s="67" t="str">
        <f>'Orçamento '!A$258</f>
        <v>11.13</v>
      </c>
      <c r="B229" s="139" t="str">
        <f>'Orçamento '!B$258</f>
        <v xml:space="preserve"> TJMMG-CP-39</v>
      </c>
      <c r="C229" s="132" t="str">
        <f>'Orçamento '!C$258</f>
        <v>PRÓPRIO</v>
      </c>
      <c r="D229" s="132" t="str">
        <f>'Orçamento '!D$258</f>
        <v>1 BISPLIT COM CONDENSADORA (27.000 BTU'S) + 1 EVAPORADORA CASSETE 1 VIA DE 9.000 BTU'S + 1 EVAPORADORA CASSETE 1 VIA DE 12.000 BTU'S</v>
      </c>
      <c r="E229" s="132" t="str">
        <f>'Orçamento '!E$258</f>
        <v>UN</v>
      </c>
      <c r="F229" s="233">
        <v>1</v>
      </c>
      <c r="G229" s="65">
        <f ca="1">SUM(H230:H242)</f>
        <v>18782.506899999997</v>
      </c>
      <c r="H229" s="66">
        <f ca="1">G229*F229</f>
        <v>18782.506899999997</v>
      </c>
    </row>
    <row r="230" spans="1:8" ht="30" x14ac:dyDescent="0.25">
      <c r="A230" s="60"/>
      <c r="B230" s="61">
        <v>1570</v>
      </c>
      <c r="C230" s="61" t="s">
        <v>17</v>
      </c>
      <c r="D230" s="134" t="s">
        <v>619</v>
      </c>
      <c r="E230" s="61" t="s">
        <v>606</v>
      </c>
      <c r="F230" s="234">
        <f>10*2</f>
        <v>20</v>
      </c>
      <c r="G230" s="62">
        <v>1.39</v>
      </c>
      <c r="H230" s="63">
        <f t="shared" ref="H230" si="37">G230*F230</f>
        <v>27.799999999999997</v>
      </c>
    </row>
    <row r="231" spans="1:8" x14ac:dyDescent="0.25">
      <c r="A231" s="60"/>
      <c r="B231" s="133" t="s">
        <v>615</v>
      </c>
      <c r="C231" s="61" t="s">
        <v>17</v>
      </c>
      <c r="D231" s="134" t="s">
        <v>616</v>
      </c>
      <c r="E231" s="61" t="s">
        <v>606</v>
      </c>
      <c r="F231" s="234">
        <f>10*2</f>
        <v>20</v>
      </c>
      <c r="G231" s="62">
        <v>1.64</v>
      </c>
      <c r="H231" s="63">
        <f>G231*F231</f>
        <v>32.799999999999997</v>
      </c>
    </row>
    <row r="232" spans="1:8" ht="30" x14ac:dyDescent="0.25">
      <c r="A232" s="60"/>
      <c r="B232" s="61">
        <v>13246</v>
      </c>
      <c r="C232" s="61" t="s">
        <v>17</v>
      </c>
      <c r="D232" s="134" t="s">
        <v>888</v>
      </c>
      <c r="E232" s="61" t="s">
        <v>606</v>
      </c>
      <c r="F232" s="234">
        <v>4</v>
      </c>
      <c r="G232" s="62">
        <v>0.61</v>
      </c>
      <c r="H232" s="63">
        <f t="shared" ref="H232:H242" si="38">G232*F232</f>
        <v>2.44</v>
      </c>
    </row>
    <row r="233" spans="1:8" ht="30" x14ac:dyDescent="0.25">
      <c r="A233" s="60"/>
      <c r="B233" s="61">
        <v>13348</v>
      </c>
      <c r="C233" s="61" t="s">
        <v>17</v>
      </c>
      <c r="D233" s="134" t="s">
        <v>620</v>
      </c>
      <c r="E233" s="61" t="s">
        <v>606</v>
      </c>
      <c r="F233" s="234">
        <v>4</v>
      </c>
      <c r="G233" s="62">
        <v>1.63</v>
      </c>
      <c r="H233" s="63">
        <f t="shared" si="38"/>
        <v>6.52</v>
      </c>
    </row>
    <row r="234" spans="1:8" ht="30" x14ac:dyDescent="0.25">
      <c r="A234" s="60"/>
      <c r="B234" s="61">
        <v>37591</v>
      </c>
      <c r="C234" s="61" t="s">
        <v>17</v>
      </c>
      <c r="D234" s="134" t="s">
        <v>617</v>
      </c>
      <c r="E234" s="61" t="s">
        <v>606</v>
      </c>
      <c r="F234" s="234">
        <v>2</v>
      </c>
      <c r="G234" s="62">
        <v>17</v>
      </c>
      <c r="H234" s="63">
        <f t="shared" si="38"/>
        <v>34</v>
      </c>
    </row>
    <row r="235" spans="1:8" x14ac:dyDescent="0.25">
      <c r="A235" s="60"/>
      <c r="B235" s="133" t="s">
        <v>622</v>
      </c>
      <c r="C235" s="61" t="s">
        <v>17</v>
      </c>
      <c r="D235" s="134" t="s">
        <v>621</v>
      </c>
      <c r="E235" s="61" t="s">
        <v>143</v>
      </c>
      <c r="F235" s="234">
        <f>1.28*2</f>
        <v>2.56</v>
      </c>
      <c r="G235" s="62">
        <v>3.19</v>
      </c>
      <c r="H235" s="63">
        <f t="shared" si="38"/>
        <v>8.1663999999999994</v>
      </c>
    </row>
    <row r="236" spans="1:8" x14ac:dyDescent="0.25">
      <c r="A236" s="60"/>
      <c r="B236" s="133" t="s">
        <v>623</v>
      </c>
      <c r="C236" s="61" t="s">
        <v>17</v>
      </c>
      <c r="D236" s="134" t="s">
        <v>624</v>
      </c>
      <c r="E236" s="61" t="s">
        <v>606</v>
      </c>
      <c r="F236" s="234">
        <f>8*2</f>
        <v>16</v>
      </c>
      <c r="G236" s="62">
        <v>0.41</v>
      </c>
      <c r="H236" s="63">
        <f t="shared" si="38"/>
        <v>6.56</v>
      </c>
    </row>
    <row r="237" spans="1:8" x14ac:dyDescent="0.25">
      <c r="A237" s="60"/>
      <c r="B237" s="61">
        <v>88243</v>
      </c>
      <c r="C237" s="61" t="s">
        <v>17</v>
      </c>
      <c r="D237" s="61" t="s">
        <v>618</v>
      </c>
      <c r="E237" s="61" t="s">
        <v>105</v>
      </c>
      <c r="F237" s="234">
        <f>8*2</f>
        <v>16</v>
      </c>
      <c r="G237" s="62">
        <v>23.81</v>
      </c>
      <c r="H237" s="63">
        <f t="shared" si="38"/>
        <v>380.96</v>
      </c>
    </row>
    <row r="238" spans="1:8" x14ac:dyDescent="0.25">
      <c r="A238" s="60"/>
      <c r="B238" s="61">
        <v>100308</v>
      </c>
      <c r="C238" s="61" t="s">
        <v>17</v>
      </c>
      <c r="D238" s="61" t="s">
        <v>880</v>
      </c>
      <c r="E238" s="61" t="s">
        <v>105</v>
      </c>
      <c r="F238" s="234">
        <f>8*2</f>
        <v>16</v>
      </c>
      <c r="G238" s="62">
        <v>30.09</v>
      </c>
      <c r="H238" s="63">
        <f t="shared" si="38"/>
        <v>481.44</v>
      </c>
    </row>
    <row r="239" spans="1:8" ht="30" x14ac:dyDescent="0.25">
      <c r="A239" s="60"/>
      <c r="B239" s="133" t="str">
        <f>'COT.'!$A$260</f>
        <v>COT-44</v>
      </c>
      <c r="C239" s="61" t="s">
        <v>19</v>
      </c>
      <c r="D239" s="134" t="str">
        <f>'COT.'!$B$260</f>
        <v>1 BISPLIT COM CONDENSADORA (27.000 BTU'S) + 1 EVAPORADORA CASSETE 1 VIA DE 9.000 BTU'S + 1 EVAPORADORA CASSETE 1 VIA DE 12.000 BTU'S</v>
      </c>
      <c r="E239" s="61" t="s">
        <v>606</v>
      </c>
      <c r="F239" s="234">
        <v>1</v>
      </c>
      <c r="G239" s="62">
        <f ca="1">'COT.'!$E$260</f>
        <v>16250.98</v>
      </c>
      <c r="H239" s="63">
        <f t="shared" ref="H239" ca="1" si="39">G239*F239</f>
        <v>16250.98</v>
      </c>
    </row>
    <row r="240" spans="1:8" x14ac:dyDescent="0.25">
      <c r="A240" s="60"/>
      <c r="B240" s="133" t="str">
        <f>'COT.'!$A$248</f>
        <v>COT-42</v>
      </c>
      <c r="C240" s="61" t="s">
        <v>19</v>
      </c>
      <c r="D240" s="134" t="str">
        <f>'COT.'!$B$248</f>
        <v>BOMBA DE DRENO LG</v>
      </c>
      <c r="E240" s="61" t="s">
        <v>606</v>
      </c>
      <c r="F240" s="234">
        <v>2</v>
      </c>
      <c r="G240" s="62">
        <f ca="1">'COT.'!$E$248</f>
        <v>243.9</v>
      </c>
      <c r="H240" s="63">
        <f t="shared" ca="1" si="38"/>
        <v>487.8</v>
      </c>
    </row>
    <row r="241" spans="1:8" x14ac:dyDescent="0.25">
      <c r="A241" s="60"/>
      <c r="B241" s="133" t="str">
        <f>'COT.'!$A$278</f>
        <v>COT-47</v>
      </c>
      <c r="C241" s="61" t="s">
        <v>19</v>
      </c>
      <c r="D241" s="61" t="str">
        <f>'COT.'!$B$278</f>
        <v>CALÇOS DE BORRACHA NEOPRENE</v>
      </c>
      <c r="E241" s="61" t="s">
        <v>606</v>
      </c>
      <c r="F241" s="234">
        <v>4</v>
      </c>
      <c r="G241" s="62">
        <f ca="1">'COT.'!$E$278</f>
        <v>26.44</v>
      </c>
      <c r="H241" s="63">
        <f t="shared" ca="1" si="38"/>
        <v>105.76</v>
      </c>
    </row>
    <row r="242" spans="1:8" ht="30" x14ac:dyDescent="0.25">
      <c r="A242" s="60"/>
      <c r="B242" s="61" t="s">
        <v>882</v>
      </c>
      <c r="C242" s="61" t="s">
        <v>6</v>
      </c>
      <c r="D242" s="134" t="s">
        <v>881</v>
      </c>
      <c r="E242" s="61" t="s">
        <v>143</v>
      </c>
      <c r="F242" s="234">
        <f>(3*4+12.15+2)+(3*4+5.5+2)</f>
        <v>45.65</v>
      </c>
      <c r="G242" s="64">
        <v>20.97</v>
      </c>
      <c r="H242" s="91">
        <f t="shared" si="38"/>
        <v>957.28049999999996</v>
      </c>
    </row>
    <row r="243" spans="1:8" x14ac:dyDescent="0.25">
      <c r="A243" s="60"/>
      <c r="B243" s="61"/>
      <c r="C243" s="61"/>
      <c r="D243" s="61"/>
      <c r="E243" s="61"/>
      <c r="F243" s="234"/>
      <c r="G243" s="62"/>
      <c r="H243" s="63"/>
    </row>
    <row r="244" spans="1:8" ht="30" x14ac:dyDescent="0.25">
      <c r="A244" s="67" t="str">
        <f>'Orçamento '!A$259</f>
        <v>11.14</v>
      </c>
      <c r="B244" s="139" t="str">
        <f>'Orçamento '!B$259</f>
        <v xml:space="preserve"> TJMMG-CP-40</v>
      </c>
      <c r="C244" s="132" t="str">
        <f>'Orçamento '!C$259</f>
        <v>PRÓPRIO</v>
      </c>
      <c r="D244" s="132" t="str">
        <f>'Orçamento '!D$259</f>
        <v>1 BISPLIT COM CONDENSADORA (18.400 BTU'S) + 2 EVAPORADORAS CASSETE 1 VIA DE 9.000/CADA</v>
      </c>
      <c r="E244" s="132" t="str">
        <f>'Orçamento '!E$259</f>
        <v>UN</v>
      </c>
      <c r="F244" s="233">
        <v>1</v>
      </c>
      <c r="G244" s="65">
        <f ca="1">SUM(H245:H257)</f>
        <v>14541.071400000001</v>
      </c>
      <c r="H244" s="66">
        <f ca="1">G244*F244</f>
        <v>14541.071400000001</v>
      </c>
    </row>
    <row r="245" spans="1:8" ht="30" x14ac:dyDescent="0.25">
      <c r="A245" s="60"/>
      <c r="B245" s="61">
        <v>1570</v>
      </c>
      <c r="C245" s="61" t="s">
        <v>17</v>
      </c>
      <c r="D245" s="134" t="s">
        <v>619</v>
      </c>
      <c r="E245" s="61" t="s">
        <v>606</v>
      </c>
      <c r="F245" s="234">
        <f>10*2</f>
        <v>20</v>
      </c>
      <c r="G245" s="62">
        <v>1.39</v>
      </c>
      <c r="H245" s="63">
        <f t="shared" ref="H245" si="40">G245*F245</f>
        <v>27.799999999999997</v>
      </c>
    </row>
    <row r="246" spans="1:8" x14ac:dyDescent="0.25">
      <c r="A246" s="60"/>
      <c r="B246" s="133" t="s">
        <v>615</v>
      </c>
      <c r="C246" s="61" t="s">
        <v>17</v>
      </c>
      <c r="D246" s="134" t="s">
        <v>616</v>
      </c>
      <c r="E246" s="61" t="s">
        <v>606</v>
      </c>
      <c r="F246" s="234">
        <f>10*2</f>
        <v>20</v>
      </c>
      <c r="G246" s="62">
        <v>1.64</v>
      </c>
      <c r="H246" s="63">
        <f>G246*F246</f>
        <v>32.799999999999997</v>
      </c>
    </row>
    <row r="247" spans="1:8" ht="30" x14ac:dyDescent="0.25">
      <c r="A247" s="60"/>
      <c r="B247" s="61">
        <v>13246</v>
      </c>
      <c r="C247" s="61" t="s">
        <v>17</v>
      </c>
      <c r="D247" s="134" t="s">
        <v>888</v>
      </c>
      <c r="E247" s="61" t="s">
        <v>606</v>
      </c>
      <c r="F247" s="234">
        <v>4</v>
      </c>
      <c r="G247" s="62">
        <v>0.61</v>
      </c>
      <c r="H247" s="63">
        <f t="shared" ref="H247:H257" si="41">G247*F247</f>
        <v>2.44</v>
      </c>
    </row>
    <row r="248" spans="1:8" ht="30" x14ac:dyDescent="0.25">
      <c r="A248" s="60"/>
      <c r="B248" s="61">
        <v>13348</v>
      </c>
      <c r="C248" s="61" t="s">
        <v>17</v>
      </c>
      <c r="D248" s="134" t="s">
        <v>620</v>
      </c>
      <c r="E248" s="61" t="s">
        <v>606</v>
      </c>
      <c r="F248" s="234">
        <v>4</v>
      </c>
      <c r="G248" s="62">
        <v>1.63</v>
      </c>
      <c r="H248" s="63">
        <f t="shared" si="41"/>
        <v>6.52</v>
      </c>
    </row>
    <row r="249" spans="1:8" ht="30" x14ac:dyDescent="0.25">
      <c r="A249" s="60"/>
      <c r="B249" s="61">
        <v>37591</v>
      </c>
      <c r="C249" s="61" t="s">
        <v>17</v>
      </c>
      <c r="D249" s="134" t="s">
        <v>617</v>
      </c>
      <c r="E249" s="61" t="s">
        <v>606</v>
      </c>
      <c r="F249" s="234">
        <v>2</v>
      </c>
      <c r="G249" s="62">
        <v>17</v>
      </c>
      <c r="H249" s="63">
        <f t="shared" si="41"/>
        <v>34</v>
      </c>
    </row>
    <row r="250" spans="1:8" x14ac:dyDescent="0.25">
      <c r="A250" s="60"/>
      <c r="B250" s="133" t="s">
        <v>622</v>
      </c>
      <c r="C250" s="61" t="s">
        <v>17</v>
      </c>
      <c r="D250" s="134" t="s">
        <v>621</v>
      </c>
      <c r="E250" s="61" t="s">
        <v>143</v>
      </c>
      <c r="F250" s="234">
        <f>1.28*2</f>
        <v>2.56</v>
      </c>
      <c r="G250" s="62">
        <v>3.19</v>
      </c>
      <c r="H250" s="63">
        <f t="shared" si="41"/>
        <v>8.1663999999999994</v>
      </c>
    </row>
    <row r="251" spans="1:8" x14ac:dyDescent="0.25">
      <c r="A251" s="60"/>
      <c r="B251" s="133" t="s">
        <v>623</v>
      </c>
      <c r="C251" s="61" t="s">
        <v>17</v>
      </c>
      <c r="D251" s="134" t="s">
        <v>624</v>
      </c>
      <c r="E251" s="61" t="s">
        <v>606</v>
      </c>
      <c r="F251" s="234">
        <f>8*2</f>
        <v>16</v>
      </c>
      <c r="G251" s="62">
        <v>0.41</v>
      </c>
      <c r="H251" s="63">
        <f t="shared" si="41"/>
        <v>6.56</v>
      </c>
    </row>
    <row r="252" spans="1:8" x14ac:dyDescent="0.25">
      <c r="A252" s="60"/>
      <c r="B252" s="61">
        <v>88243</v>
      </c>
      <c r="C252" s="61" t="s">
        <v>17</v>
      </c>
      <c r="D252" s="61" t="s">
        <v>618</v>
      </c>
      <c r="E252" s="61" t="s">
        <v>105</v>
      </c>
      <c r="F252" s="234">
        <f>8*2</f>
        <v>16</v>
      </c>
      <c r="G252" s="62">
        <v>23.81</v>
      </c>
      <c r="H252" s="63">
        <f t="shared" si="41"/>
        <v>380.96</v>
      </c>
    </row>
    <row r="253" spans="1:8" x14ac:dyDescent="0.25">
      <c r="A253" s="60"/>
      <c r="B253" s="61">
        <v>100308</v>
      </c>
      <c r="C253" s="61" t="s">
        <v>17</v>
      </c>
      <c r="D253" s="61" t="s">
        <v>880</v>
      </c>
      <c r="E253" s="61" t="s">
        <v>105</v>
      </c>
      <c r="F253" s="234">
        <f>8*2</f>
        <v>16</v>
      </c>
      <c r="G253" s="62">
        <v>30.09</v>
      </c>
      <c r="H253" s="63">
        <f t="shared" si="41"/>
        <v>481.44</v>
      </c>
    </row>
    <row r="254" spans="1:8" x14ac:dyDescent="0.25">
      <c r="A254" s="60"/>
      <c r="B254" s="133" t="str">
        <f>'COT.'!$A$248</f>
        <v>COT-42</v>
      </c>
      <c r="C254" s="61" t="s">
        <v>19</v>
      </c>
      <c r="D254" s="134" t="str">
        <f>'COT.'!$B$248</f>
        <v>BOMBA DE DRENO LG</v>
      </c>
      <c r="E254" s="61" t="s">
        <v>606</v>
      </c>
      <c r="F254" s="234">
        <v>2</v>
      </c>
      <c r="G254" s="62">
        <f ca="1">'COT.'!$E$248</f>
        <v>243.9</v>
      </c>
      <c r="H254" s="63">
        <f t="shared" ca="1" si="41"/>
        <v>487.8</v>
      </c>
    </row>
    <row r="255" spans="1:8" ht="30" x14ac:dyDescent="0.25">
      <c r="A255" s="60"/>
      <c r="B255" s="133" t="str">
        <f>'COT.'!$A$266</f>
        <v>COT-45</v>
      </c>
      <c r="C255" s="61" t="s">
        <v>19</v>
      </c>
      <c r="D255" s="134" t="str">
        <f>'COT.'!$B$266</f>
        <v>1 BISPLIT COM CONDENSADORA (18.400 BTU'S) + 2 EVAPORADORAS CASSETE 1 VIA DE 9.000/CADA</v>
      </c>
      <c r="E255" s="61" t="s">
        <v>606</v>
      </c>
      <c r="F255" s="234">
        <v>1</v>
      </c>
      <c r="G255" s="62">
        <f ca="1">'COT.'!$E$266</f>
        <v>12495</v>
      </c>
      <c r="H255" s="63">
        <f t="shared" ca="1" si="41"/>
        <v>12495</v>
      </c>
    </row>
    <row r="256" spans="1:8" x14ac:dyDescent="0.25">
      <c r="A256" s="60"/>
      <c r="B256" s="133" t="str">
        <f>'COT.'!$A$278</f>
        <v>COT-47</v>
      </c>
      <c r="C256" s="61" t="s">
        <v>19</v>
      </c>
      <c r="D256" s="61" t="str">
        <f>'COT.'!$B$278</f>
        <v>CALÇOS DE BORRACHA NEOPRENE</v>
      </c>
      <c r="E256" s="61" t="s">
        <v>606</v>
      </c>
      <c r="F256" s="234">
        <v>4</v>
      </c>
      <c r="G256" s="62">
        <f ca="1">'COT.'!$E$278</f>
        <v>26.44</v>
      </c>
      <c r="H256" s="63">
        <f t="shared" ca="1" si="41"/>
        <v>105.76</v>
      </c>
    </row>
    <row r="257" spans="1:8" ht="30" x14ac:dyDescent="0.25">
      <c r="A257" s="60"/>
      <c r="B257" s="61" t="s">
        <v>882</v>
      </c>
      <c r="C257" s="61" t="s">
        <v>6</v>
      </c>
      <c r="D257" s="134" t="s">
        <v>881</v>
      </c>
      <c r="E257" s="61" t="s">
        <v>143</v>
      </c>
      <c r="F257" s="234">
        <f>(3+3.5+2)+(3+9+2)</f>
        <v>22.5</v>
      </c>
      <c r="G257" s="64">
        <v>20.97</v>
      </c>
      <c r="H257" s="91">
        <f t="shared" si="41"/>
        <v>471.82499999999999</v>
      </c>
    </row>
    <row r="258" spans="1:8" x14ac:dyDescent="0.25">
      <c r="A258" s="60"/>
      <c r="B258" s="133"/>
      <c r="C258" s="61"/>
      <c r="D258" s="134"/>
      <c r="E258" s="61"/>
      <c r="F258" s="234"/>
      <c r="G258" s="62"/>
      <c r="H258" s="63"/>
    </row>
    <row r="259" spans="1:8" ht="30" x14ac:dyDescent="0.25">
      <c r="A259" s="67" t="str">
        <f>'Orçamento '!A$260</f>
        <v>11.15</v>
      </c>
      <c r="B259" s="139" t="str">
        <f>'Orçamento '!B$260</f>
        <v xml:space="preserve"> TJMMG-CP-41</v>
      </c>
      <c r="C259" s="132" t="str">
        <f>'Orçamento '!C$260</f>
        <v>PRÓPRIO</v>
      </c>
      <c r="D259" s="132" t="str">
        <f>'Orçamento '!D$260</f>
        <v>REMOÇÃO E REINSTAÇÃO DE EVAPORADORA SPLIT HI-WALL DE 12.000 Btu/h.  (INCLUSO ADEQUAÇÃO DOS DRENOS)</v>
      </c>
      <c r="E259" s="132" t="str">
        <f>'Orçamento '!E$260</f>
        <v>UN</v>
      </c>
      <c r="F259" s="233">
        <v>1</v>
      </c>
      <c r="G259" s="65">
        <f>SUM(H260:H268)</f>
        <v>1013.8732</v>
      </c>
      <c r="H259" s="66">
        <f>G259*F259</f>
        <v>1013.8732</v>
      </c>
    </row>
    <row r="260" spans="1:8" ht="30" x14ac:dyDescent="0.25">
      <c r="A260" s="60"/>
      <c r="B260" s="61">
        <v>1570</v>
      </c>
      <c r="C260" s="61" t="s">
        <v>17</v>
      </c>
      <c r="D260" s="134" t="s">
        <v>619</v>
      </c>
      <c r="E260" s="61" t="s">
        <v>606</v>
      </c>
      <c r="F260" s="234">
        <f>10</f>
        <v>10</v>
      </c>
      <c r="G260" s="62">
        <v>1.39</v>
      </c>
      <c r="H260" s="63">
        <f t="shared" ref="H260" si="42">G260*F260</f>
        <v>13.899999999999999</v>
      </c>
    </row>
    <row r="261" spans="1:8" x14ac:dyDescent="0.25">
      <c r="A261" s="60"/>
      <c r="B261" s="133" t="s">
        <v>615</v>
      </c>
      <c r="C261" s="61" t="s">
        <v>17</v>
      </c>
      <c r="D261" s="134" t="s">
        <v>616</v>
      </c>
      <c r="E261" s="61" t="s">
        <v>606</v>
      </c>
      <c r="F261" s="234">
        <f>10</f>
        <v>10</v>
      </c>
      <c r="G261" s="62">
        <v>1.64</v>
      </c>
      <c r="H261" s="63">
        <f>G261*F261</f>
        <v>16.399999999999999</v>
      </c>
    </row>
    <row r="262" spans="1:8" ht="30" x14ac:dyDescent="0.25">
      <c r="A262" s="60"/>
      <c r="B262" s="61">
        <v>13246</v>
      </c>
      <c r="C262" s="61" t="s">
        <v>17</v>
      </c>
      <c r="D262" s="134" t="s">
        <v>888</v>
      </c>
      <c r="E262" s="61" t="s">
        <v>606</v>
      </c>
      <c r="F262" s="234">
        <v>4</v>
      </c>
      <c r="G262" s="62">
        <v>0.61</v>
      </c>
      <c r="H262" s="63">
        <f t="shared" ref="H262:H268" si="43">G262*F262</f>
        <v>2.44</v>
      </c>
    </row>
    <row r="263" spans="1:8" ht="30" x14ac:dyDescent="0.25">
      <c r="A263" s="60"/>
      <c r="B263" s="61">
        <v>13348</v>
      </c>
      <c r="C263" s="61" t="s">
        <v>17</v>
      </c>
      <c r="D263" s="134" t="s">
        <v>620</v>
      </c>
      <c r="E263" s="61" t="s">
        <v>606</v>
      </c>
      <c r="F263" s="234">
        <v>4</v>
      </c>
      <c r="G263" s="62">
        <v>1.63</v>
      </c>
      <c r="H263" s="63">
        <f t="shared" si="43"/>
        <v>6.52</v>
      </c>
    </row>
    <row r="264" spans="1:8" x14ac:dyDescent="0.25">
      <c r="A264" s="60"/>
      <c r="B264" s="133" t="s">
        <v>622</v>
      </c>
      <c r="C264" s="61" t="s">
        <v>17</v>
      </c>
      <c r="D264" s="134" t="s">
        <v>621</v>
      </c>
      <c r="E264" s="61" t="s">
        <v>143</v>
      </c>
      <c r="F264" s="234">
        <f>1.28</f>
        <v>1.28</v>
      </c>
      <c r="G264" s="62">
        <v>3.19</v>
      </c>
      <c r="H264" s="63">
        <f t="shared" si="43"/>
        <v>4.0831999999999997</v>
      </c>
    </row>
    <row r="265" spans="1:8" x14ac:dyDescent="0.25">
      <c r="A265" s="60"/>
      <c r="B265" s="133" t="s">
        <v>623</v>
      </c>
      <c r="C265" s="61" t="s">
        <v>17</v>
      </c>
      <c r="D265" s="134" t="s">
        <v>624</v>
      </c>
      <c r="E265" s="61" t="s">
        <v>606</v>
      </c>
      <c r="F265" s="234">
        <f>8</f>
        <v>8</v>
      </c>
      <c r="G265" s="62">
        <v>0.41</v>
      </c>
      <c r="H265" s="63">
        <f t="shared" si="43"/>
        <v>3.28</v>
      </c>
    </row>
    <row r="266" spans="1:8" x14ac:dyDescent="0.25">
      <c r="A266" s="60"/>
      <c r="B266" s="61">
        <v>88243</v>
      </c>
      <c r="C266" s="61" t="s">
        <v>17</v>
      </c>
      <c r="D266" s="61" t="s">
        <v>618</v>
      </c>
      <c r="E266" s="61" t="s">
        <v>105</v>
      </c>
      <c r="F266" s="234">
        <v>16</v>
      </c>
      <c r="G266" s="62">
        <v>23.81</v>
      </c>
      <c r="H266" s="63">
        <f t="shared" si="43"/>
        <v>380.96</v>
      </c>
    </row>
    <row r="267" spans="1:8" x14ac:dyDescent="0.25">
      <c r="A267" s="60"/>
      <c r="B267" s="61">
        <v>100308</v>
      </c>
      <c r="C267" s="61" t="s">
        <v>17</v>
      </c>
      <c r="D267" s="61" t="s">
        <v>880</v>
      </c>
      <c r="E267" s="61" t="s">
        <v>105</v>
      </c>
      <c r="F267" s="234">
        <v>16</v>
      </c>
      <c r="G267" s="62">
        <v>30.09</v>
      </c>
      <c r="H267" s="63">
        <f t="shared" si="43"/>
        <v>481.44</v>
      </c>
    </row>
    <row r="268" spans="1:8" ht="30" x14ac:dyDescent="0.25">
      <c r="A268" s="60"/>
      <c r="B268" s="61" t="s">
        <v>882</v>
      </c>
      <c r="C268" s="61" t="s">
        <v>6</v>
      </c>
      <c r="D268" s="134" t="s">
        <v>881</v>
      </c>
      <c r="E268" s="61" t="s">
        <v>143</v>
      </c>
      <c r="F268" s="234">
        <v>5</v>
      </c>
      <c r="G268" s="64">
        <v>20.97</v>
      </c>
      <c r="H268" s="91">
        <f t="shared" si="43"/>
        <v>104.85</v>
      </c>
    </row>
    <row r="269" spans="1:8" x14ac:dyDescent="0.25">
      <c r="A269" s="60"/>
      <c r="B269" s="61"/>
      <c r="C269" s="61"/>
      <c r="D269" s="61"/>
      <c r="E269" s="61"/>
      <c r="F269" s="234"/>
      <c r="G269" s="62"/>
      <c r="H269" s="63"/>
    </row>
    <row r="270" spans="1:8" x14ac:dyDescent="0.25">
      <c r="A270" s="67" t="str">
        <f>'Orçamento '!A$261</f>
        <v>11.16</v>
      </c>
      <c r="B270" s="139" t="str">
        <f>'Orçamento '!B$261</f>
        <v xml:space="preserve"> TJMMG-CP-42</v>
      </c>
      <c r="C270" s="132" t="str">
        <f>'Orçamento '!C$261</f>
        <v>PRÓPRIO</v>
      </c>
      <c r="D270" s="132" t="str">
        <f>'Orçamento '!D$261</f>
        <v xml:space="preserve">REMOÇÃO DE CONJUNTO DO TIPO SPLIT PISO TETO DE 18.000 Btu/h. </v>
      </c>
      <c r="E270" s="132" t="str">
        <f>'Orçamento '!E$261</f>
        <v>UN</v>
      </c>
      <c r="F270" s="233">
        <v>1</v>
      </c>
      <c r="G270" s="65">
        <f>SUM(H271:H272)</f>
        <v>431.2</v>
      </c>
      <c r="H270" s="66">
        <f>G270*F270</f>
        <v>431.2</v>
      </c>
    </row>
    <row r="271" spans="1:8" x14ac:dyDescent="0.25">
      <c r="A271" s="60"/>
      <c r="B271" s="61">
        <v>88243</v>
      </c>
      <c r="C271" s="61" t="s">
        <v>17</v>
      </c>
      <c r="D271" s="61" t="s">
        <v>618</v>
      </c>
      <c r="E271" s="61" t="s">
        <v>105</v>
      </c>
      <c r="F271" s="234">
        <f>8</f>
        <v>8</v>
      </c>
      <c r="G271" s="62">
        <v>23.81</v>
      </c>
      <c r="H271" s="63">
        <f t="shared" ref="H271:H272" si="44">G271*F271</f>
        <v>190.48</v>
      </c>
    </row>
    <row r="272" spans="1:8" x14ac:dyDescent="0.25">
      <c r="A272" s="60"/>
      <c r="B272" s="61">
        <v>100308</v>
      </c>
      <c r="C272" s="61" t="s">
        <v>17</v>
      </c>
      <c r="D272" s="61" t="s">
        <v>880</v>
      </c>
      <c r="E272" s="61" t="s">
        <v>105</v>
      </c>
      <c r="F272" s="234">
        <f>8</f>
        <v>8</v>
      </c>
      <c r="G272" s="62">
        <v>30.09</v>
      </c>
      <c r="H272" s="63">
        <f t="shared" si="44"/>
        <v>240.72</v>
      </c>
    </row>
    <row r="273" spans="1:9" x14ac:dyDescent="0.25">
      <c r="A273" s="504" t="s">
        <v>681</v>
      </c>
      <c r="B273" s="505"/>
      <c r="C273" s="505"/>
      <c r="D273" s="505"/>
      <c r="E273" s="505"/>
      <c r="F273" s="505"/>
      <c r="G273" s="505"/>
      <c r="H273" s="506"/>
    </row>
    <row r="274" spans="1:9" x14ac:dyDescent="0.25">
      <c r="A274" s="60"/>
      <c r="B274" s="61"/>
      <c r="C274" s="61"/>
      <c r="D274" s="61"/>
      <c r="E274" s="61"/>
      <c r="F274" s="234"/>
      <c r="G274" s="62"/>
      <c r="H274" s="63"/>
    </row>
    <row r="275" spans="1:9" x14ac:dyDescent="0.25">
      <c r="A275" s="67" t="str">
        <f>'Orçamento '!A$262</f>
        <v>11.17</v>
      </c>
      <c r="B275" s="139" t="str">
        <f>'Orçamento '!B$262</f>
        <v xml:space="preserve"> TJMMG-CP-43</v>
      </c>
      <c r="C275" s="132" t="str">
        <f>'Orçamento '!C$262</f>
        <v>PRÓPRIO</v>
      </c>
      <c r="D275" s="132" t="str">
        <f>'Orçamento '!D$262</f>
        <v>REMOÇÃO DE MINI VENTILADORES SICFLUX.</v>
      </c>
      <c r="E275" s="132" t="str">
        <f>'Orçamento '!E$262</f>
        <v>UN</v>
      </c>
      <c r="F275" s="233">
        <v>1</v>
      </c>
      <c r="G275" s="65">
        <f>SUM(H276:H277)</f>
        <v>134.75</v>
      </c>
      <c r="H275" s="66">
        <f>G275*F275</f>
        <v>134.75</v>
      </c>
    </row>
    <row r="276" spans="1:9" x14ac:dyDescent="0.25">
      <c r="A276" s="60"/>
      <c r="B276" s="61">
        <v>88243</v>
      </c>
      <c r="C276" s="61" t="s">
        <v>17</v>
      </c>
      <c r="D276" s="61" t="s">
        <v>618</v>
      </c>
      <c r="E276" s="61" t="s">
        <v>105</v>
      </c>
      <c r="F276" s="234">
        <f>2.5</f>
        <v>2.5</v>
      </c>
      <c r="G276" s="62">
        <v>23.81</v>
      </c>
      <c r="H276" s="63">
        <f t="shared" ref="H276:H277" si="45">G276*F276</f>
        <v>59.524999999999999</v>
      </c>
    </row>
    <row r="277" spans="1:9" x14ac:dyDescent="0.25">
      <c r="A277" s="60"/>
      <c r="B277" s="61">
        <v>100308</v>
      </c>
      <c r="C277" s="61" t="s">
        <v>17</v>
      </c>
      <c r="D277" s="61" t="s">
        <v>880</v>
      </c>
      <c r="E277" s="61" t="s">
        <v>105</v>
      </c>
      <c r="F277" s="234">
        <v>2.5</v>
      </c>
      <c r="G277" s="62">
        <v>30.09</v>
      </c>
      <c r="H277" s="63">
        <f t="shared" si="45"/>
        <v>75.224999999999994</v>
      </c>
    </row>
    <row r="278" spans="1:9" x14ac:dyDescent="0.25">
      <c r="A278" s="60"/>
      <c r="B278" s="61"/>
      <c r="C278" s="61"/>
      <c r="D278" s="61"/>
      <c r="E278" s="61"/>
      <c r="F278" s="234"/>
      <c r="G278" s="62"/>
      <c r="H278" s="63"/>
    </row>
    <row r="279" spans="1:9" x14ac:dyDescent="0.25">
      <c r="A279" s="59" t="str">
        <f>'Orçamento '!A263</f>
        <v>11.18</v>
      </c>
      <c r="B279" s="136" t="str">
        <f>'Orçamento '!B263</f>
        <v xml:space="preserve"> TJMMG-CP-44</v>
      </c>
      <c r="C279" s="131" t="str">
        <f>'Orçamento '!C263</f>
        <v>PRÓPRIO</v>
      </c>
      <c r="D279" s="132" t="str">
        <f>'Orçamento '!D263</f>
        <v>GÁS R410 A - FORNECIMENTO E INSTALAÇÃO</v>
      </c>
      <c r="E279" s="131" t="str">
        <f>'Orçamento '!E263</f>
        <v>KG</v>
      </c>
      <c r="F279" s="233">
        <v>1</v>
      </c>
      <c r="G279" s="65">
        <f>SUM(H280:H281)</f>
        <v>51.423000000000002</v>
      </c>
      <c r="H279" s="66">
        <f>G279*F279</f>
        <v>51.423000000000002</v>
      </c>
    </row>
    <row r="280" spans="1:9" x14ac:dyDescent="0.25">
      <c r="A280" s="60"/>
      <c r="B280" s="61">
        <v>100308</v>
      </c>
      <c r="C280" s="61" t="s">
        <v>17</v>
      </c>
      <c r="D280" s="61" t="s">
        <v>880</v>
      </c>
      <c r="E280" s="61" t="s">
        <v>105</v>
      </c>
      <c r="F280" s="234">
        <v>0.25</v>
      </c>
      <c r="G280" s="62">
        <v>30.09</v>
      </c>
      <c r="H280" s="63">
        <f t="shared" ref="H280:H281" si="46">G280*F280</f>
        <v>7.5225</v>
      </c>
      <c r="I280" s="253"/>
    </row>
    <row r="281" spans="1:9" x14ac:dyDescent="0.25">
      <c r="A281" s="60"/>
      <c r="B281" s="61">
        <v>8151</v>
      </c>
      <c r="C281" s="61" t="s">
        <v>140</v>
      </c>
      <c r="D281" s="61" t="s">
        <v>633</v>
      </c>
      <c r="E281" s="61" t="s">
        <v>98</v>
      </c>
      <c r="F281" s="234">
        <v>1.05</v>
      </c>
      <c r="G281" s="62">
        <v>41.81</v>
      </c>
      <c r="H281" s="63">
        <f t="shared" si="46"/>
        <v>43.900500000000001</v>
      </c>
    </row>
    <row r="282" spans="1:9" x14ac:dyDescent="0.25">
      <c r="A282" s="60"/>
      <c r="B282" s="61"/>
      <c r="C282" s="61"/>
      <c r="D282" s="61"/>
      <c r="E282" s="61"/>
      <c r="F282" s="234"/>
      <c r="G282" s="62"/>
      <c r="H282" s="63"/>
    </row>
    <row r="283" spans="1:9" x14ac:dyDescent="0.25">
      <c r="A283" s="59" t="str">
        <f>'Orçamento '!A264</f>
        <v>11.19</v>
      </c>
      <c r="B283" s="136" t="str">
        <f>'Orçamento '!B264</f>
        <v xml:space="preserve"> TJMMG-CP-45</v>
      </c>
      <c r="C283" s="131" t="str">
        <f>'Orçamento '!C264</f>
        <v>PRÓPRIO</v>
      </c>
      <c r="D283" s="132" t="str">
        <f>'Orçamento '!D264</f>
        <v>EXECUÇÃO DE DRENOS PARA AS EVAPORADORAS</v>
      </c>
      <c r="E283" s="131" t="str">
        <f>'Orçamento '!E264</f>
        <v>M</v>
      </c>
      <c r="F283" s="233">
        <v>1</v>
      </c>
      <c r="G283" s="65">
        <f>SUM(H284:H284)</f>
        <v>23.49</v>
      </c>
      <c r="H283" s="66">
        <f>G283*F283</f>
        <v>23.49</v>
      </c>
    </row>
    <row r="284" spans="1:9" ht="30" x14ac:dyDescent="0.25">
      <c r="A284" s="60"/>
      <c r="B284" s="61" t="s">
        <v>788</v>
      </c>
      <c r="C284" s="61" t="s">
        <v>6</v>
      </c>
      <c r="D284" s="134" t="s">
        <v>787</v>
      </c>
      <c r="E284" s="61" t="s">
        <v>143</v>
      </c>
      <c r="F284" s="234">
        <v>1</v>
      </c>
      <c r="G284" s="62">
        <v>23.49</v>
      </c>
      <c r="H284" s="63">
        <f t="shared" ref="H284" si="47">G284*F284</f>
        <v>23.49</v>
      </c>
      <c r="I284" s="253"/>
    </row>
    <row r="285" spans="1:9" x14ac:dyDescent="0.25">
      <c r="A285" s="60"/>
      <c r="B285" s="61"/>
      <c r="C285" s="61"/>
      <c r="D285" s="134"/>
      <c r="E285" s="61"/>
      <c r="F285" s="234"/>
      <c r="G285" s="64"/>
      <c r="H285" s="63"/>
    </row>
    <row r="286" spans="1:9" ht="30" x14ac:dyDescent="0.25">
      <c r="A286" s="59" t="str">
        <f>'Orçamento '!$A$267</f>
        <v>12.1</v>
      </c>
      <c r="B286" s="131" t="str">
        <f>'Orçamento '!$B$267</f>
        <v>TJMMG-CP-46</v>
      </c>
      <c r="C286" s="131" t="str">
        <f>'Orçamento '!$C$267</f>
        <v>PRÓPRIO</v>
      </c>
      <c r="D286" s="132" t="str">
        <f>'Orçamento '!$D$267</f>
        <v xml:space="preserve">P08: REINSTALAÇÃO DE PORTA PRONTA 82X210CM EXISTENTE, CONFORME PROJETO ARQUITETÔNICO; </v>
      </c>
      <c r="E286" s="131" t="str">
        <f>'Orçamento '!E267</f>
        <v xml:space="preserve">UN </v>
      </c>
      <c r="F286" s="233">
        <v>1</v>
      </c>
      <c r="G286" s="65">
        <f>SUM(H287:H289)</f>
        <v>71.708560000000006</v>
      </c>
      <c r="H286" s="66">
        <f>G286*F286</f>
        <v>71.708560000000006</v>
      </c>
    </row>
    <row r="287" spans="1:9" x14ac:dyDescent="0.25">
      <c r="A287" s="60"/>
      <c r="B287" s="133" t="s">
        <v>171</v>
      </c>
      <c r="C287" s="61" t="s">
        <v>17</v>
      </c>
      <c r="D287" s="134" t="s">
        <v>172</v>
      </c>
      <c r="E287" s="61" t="s">
        <v>606</v>
      </c>
      <c r="F287" s="234">
        <v>1.1619999999999999</v>
      </c>
      <c r="G287" s="62">
        <v>28.48</v>
      </c>
      <c r="H287" s="63">
        <f t="shared" ref="H287" si="48">G287*F287</f>
        <v>33.093759999999996</v>
      </c>
    </row>
    <row r="288" spans="1:9" x14ac:dyDescent="0.25">
      <c r="A288" s="60"/>
      <c r="B288" s="133" t="s">
        <v>282</v>
      </c>
      <c r="C288" s="61" t="s">
        <v>17</v>
      </c>
      <c r="D288" s="134" t="s">
        <v>39</v>
      </c>
      <c r="E288" s="61" t="s">
        <v>105</v>
      </c>
      <c r="F288" s="234">
        <v>0.92900000000000005</v>
      </c>
      <c r="G288" s="62">
        <v>31.35</v>
      </c>
      <c r="H288" s="63">
        <f t="shared" ref="H288:H289" si="49">G288*F288</f>
        <v>29.124150000000004</v>
      </c>
    </row>
    <row r="289" spans="1:8" x14ac:dyDescent="0.25">
      <c r="A289" s="60"/>
      <c r="B289" s="61">
        <v>88316</v>
      </c>
      <c r="C289" s="61" t="s">
        <v>17</v>
      </c>
      <c r="D289" s="61" t="s">
        <v>77</v>
      </c>
      <c r="E289" s="61" t="s">
        <v>105</v>
      </c>
      <c r="F289" s="234">
        <v>0.46500000000000002</v>
      </c>
      <c r="G289" s="62">
        <v>20.41</v>
      </c>
      <c r="H289" s="63">
        <f t="shared" si="49"/>
        <v>9.4906500000000005</v>
      </c>
    </row>
    <row r="290" spans="1:8" x14ac:dyDescent="0.25">
      <c r="A290" s="60"/>
      <c r="B290" s="61"/>
      <c r="C290" s="61"/>
      <c r="D290" s="61"/>
      <c r="E290" s="61"/>
      <c r="F290" s="234"/>
      <c r="G290" s="62"/>
      <c r="H290" s="63"/>
    </row>
    <row r="291" spans="1:8" ht="30" x14ac:dyDescent="0.25">
      <c r="A291" s="59" t="str">
        <f>'Orçamento '!A273</f>
        <v>12.7</v>
      </c>
      <c r="B291" s="131" t="str">
        <f>'Orçamento '!B273</f>
        <v>TJMMG-CP-47</v>
      </c>
      <c r="C291" s="131" t="str">
        <f>'Orçamento '!C273</f>
        <v>PRÓPRIO</v>
      </c>
      <c r="D291" s="132" t="str">
        <f>'Orçamento '!D273</f>
        <v>CHAPA DE INOX, INSTALADA NA JANELA, PARA PASSAGEM DA TUBULAÇÃO DE AR CONDICIONADO</v>
      </c>
      <c r="E291" s="131" t="str">
        <f>'Orçamento '!E273</f>
        <v xml:space="preserve">UN </v>
      </c>
      <c r="F291" s="233">
        <v>1</v>
      </c>
      <c r="G291" s="65">
        <f>SUM(H292:H294)</f>
        <v>122.75</v>
      </c>
      <c r="H291" s="66">
        <f>G291*F291</f>
        <v>122.75</v>
      </c>
    </row>
    <row r="292" spans="1:8" x14ac:dyDescent="0.25">
      <c r="A292" s="60"/>
      <c r="B292" s="133" t="s">
        <v>414</v>
      </c>
      <c r="C292" s="61" t="s">
        <v>17</v>
      </c>
      <c r="D292" s="134" t="s">
        <v>413</v>
      </c>
      <c r="E292" s="61" t="s">
        <v>105</v>
      </c>
      <c r="F292" s="234">
        <v>2</v>
      </c>
      <c r="G292" s="62">
        <v>22.59</v>
      </c>
      <c r="H292" s="63">
        <f t="shared" ref="H292:H294" si="50">G292*F292</f>
        <v>45.18</v>
      </c>
    </row>
    <row r="293" spans="1:8" x14ac:dyDescent="0.25">
      <c r="A293" s="60"/>
      <c r="B293" s="61">
        <v>88316</v>
      </c>
      <c r="C293" s="61" t="s">
        <v>17</v>
      </c>
      <c r="D293" s="61" t="s">
        <v>77</v>
      </c>
      <c r="E293" s="61" t="s">
        <v>105</v>
      </c>
      <c r="F293" s="234">
        <v>2</v>
      </c>
      <c r="G293" s="62">
        <v>20.41</v>
      </c>
      <c r="H293" s="63">
        <f t="shared" si="50"/>
        <v>40.82</v>
      </c>
    </row>
    <row r="294" spans="1:8" x14ac:dyDescent="0.25">
      <c r="A294" s="60"/>
      <c r="B294" s="61" t="s">
        <v>890</v>
      </c>
      <c r="C294" s="61" t="s">
        <v>891</v>
      </c>
      <c r="D294" s="134" t="s">
        <v>889</v>
      </c>
      <c r="E294" s="61" t="s">
        <v>98</v>
      </c>
      <c r="F294" s="234">
        <f>1.25*0.3*10</f>
        <v>3.75</v>
      </c>
      <c r="G294" s="62">
        <v>9.8000000000000007</v>
      </c>
      <c r="H294" s="63">
        <f t="shared" si="50"/>
        <v>36.75</v>
      </c>
    </row>
    <row r="295" spans="1:8" ht="14.25" customHeight="1" x14ac:dyDescent="0.25">
      <c r="A295" s="60"/>
      <c r="B295" s="61"/>
      <c r="C295" s="133"/>
      <c r="D295" s="61"/>
      <c r="E295" s="61"/>
      <c r="F295" s="234"/>
      <c r="G295" s="62"/>
      <c r="H295" s="63"/>
    </row>
    <row r="296" spans="1:8" ht="30" x14ac:dyDescent="0.25">
      <c r="A296" s="59" t="str">
        <f>'Orçamento '!A286</f>
        <v>14.1</v>
      </c>
      <c r="B296" s="131" t="str">
        <f>'Orçamento '!B286</f>
        <v>TJMMG-CP-48</v>
      </c>
      <c r="C296" s="131" t="str">
        <f>'Orçamento '!C286</f>
        <v>PRÓPRIO</v>
      </c>
      <c r="D296" s="132" t="str">
        <f>'Orçamento '!D286</f>
        <v>MINI ÁRVORE COM AVENCA PRESERVADA E VASO EM POLIPROPILENO OVAL BRANCO 30X30CM - INCLUSO SUBSTRATO</v>
      </c>
      <c r="E296" s="131" t="str">
        <f>'Orçamento '!E286</f>
        <v>UN</v>
      </c>
      <c r="F296" s="233">
        <v>1</v>
      </c>
      <c r="G296" s="65">
        <f ca="1">SUM(H297:H301)</f>
        <v>1579.333515864</v>
      </c>
      <c r="H296" s="66">
        <f ca="1">G296*F296</f>
        <v>1579.333515864</v>
      </c>
    </row>
    <row r="297" spans="1:8" x14ac:dyDescent="0.25">
      <c r="A297" s="60"/>
      <c r="B297" s="133" t="s">
        <v>800</v>
      </c>
      <c r="C297" s="61" t="s">
        <v>17</v>
      </c>
      <c r="D297" s="134" t="s">
        <v>799</v>
      </c>
      <c r="E297" s="61" t="s">
        <v>105</v>
      </c>
      <c r="F297" s="234">
        <v>2</v>
      </c>
      <c r="G297" s="62">
        <v>23.84</v>
      </c>
      <c r="H297" s="63">
        <f t="shared" ref="H297:H299" si="51">G297*F297</f>
        <v>47.68</v>
      </c>
    </row>
    <row r="298" spans="1:8" x14ac:dyDescent="0.25">
      <c r="A298" s="60"/>
      <c r="B298" s="61">
        <v>88316</v>
      </c>
      <c r="C298" s="61" t="s">
        <v>17</v>
      </c>
      <c r="D298" s="61" t="s">
        <v>77</v>
      </c>
      <c r="E298" s="61" t="s">
        <v>105</v>
      </c>
      <c r="F298" s="234">
        <v>2</v>
      </c>
      <c r="G298" s="62">
        <v>20.41</v>
      </c>
      <c r="H298" s="63">
        <f t="shared" si="51"/>
        <v>40.82</v>
      </c>
    </row>
    <row r="299" spans="1:8" x14ac:dyDescent="0.25">
      <c r="A299" s="60"/>
      <c r="B299" s="133" t="str">
        <f>'COT.'!A87</f>
        <v>COT-15</v>
      </c>
      <c r="C299" s="61" t="s">
        <v>19</v>
      </c>
      <c r="D299" s="134" t="str">
        <f>'COT.'!B87</f>
        <v>VASO EM POLIPROPILENO OVAL BRANCO 30X30CM</v>
      </c>
      <c r="E299" s="61" t="s">
        <v>144</v>
      </c>
      <c r="F299" s="234">
        <v>1</v>
      </c>
      <c r="G299" s="62">
        <f ca="1">'COT.'!E87</f>
        <v>45</v>
      </c>
      <c r="H299" s="63">
        <f t="shared" ca="1" si="51"/>
        <v>45</v>
      </c>
    </row>
    <row r="300" spans="1:8" x14ac:dyDescent="0.25">
      <c r="A300" s="60"/>
      <c r="B300" s="133" t="str">
        <f>'COT.'!A308</f>
        <v>COT-52</v>
      </c>
      <c r="C300" s="61" t="s">
        <v>19</v>
      </c>
      <c r="D300" s="134" t="str">
        <f>'COT.'!B308</f>
        <v>AVENCA PRESERVADA</v>
      </c>
      <c r="E300" s="61" t="s">
        <v>801</v>
      </c>
      <c r="F300" s="234">
        <v>1</v>
      </c>
      <c r="G300" s="62">
        <f ca="1">'COT.'!E308</f>
        <v>1440</v>
      </c>
      <c r="H300" s="63">
        <f t="shared" ref="H300:H301" ca="1" si="52">G300*F300</f>
        <v>1440</v>
      </c>
    </row>
    <row r="301" spans="1:8" ht="14.25" customHeight="1" x14ac:dyDescent="0.25">
      <c r="A301" s="60"/>
      <c r="B301" s="61">
        <v>7253</v>
      </c>
      <c r="C301" s="133" t="s">
        <v>17</v>
      </c>
      <c r="D301" s="61" t="s">
        <v>802</v>
      </c>
      <c r="E301" s="61" t="s">
        <v>175</v>
      </c>
      <c r="F301" s="234">
        <f>3.14*0.17*0.17*0.3</f>
        <v>2.7223800000000006E-2</v>
      </c>
      <c r="G301" s="62">
        <v>214.28</v>
      </c>
      <c r="H301" s="63">
        <f t="shared" si="52"/>
        <v>5.8335158640000015</v>
      </c>
    </row>
    <row r="302" spans="1:8" ht="14.25" customHeight="1" x14ac:dyDescent="0.25">
      <c r="A302" s="60"/>
      <c r="B302" s="61"/>
      <c r="C302" s="133"/>
      <c r="D302" s="61"/>
      <c r="E302" s="61"/>
      <c r="F302" s="234"/>
      <c r="G302" s="62"/>
      <c r="H302" s="63"/>
    </row>
    <row r="303" spans="1:8" x14ac:dyDescent="0.25">
      <c r="A303" s="59" t="str">
        <f>'Orçamento '!A306</f>
        <v>15.18</v>
      </c>
      <c r="B303" s="131" t="str">
        <f>'Orçamento '!B306</f>
        <v>TJMMG-CP-49</v>
      </c>
      <c r="C303" s="131" t="str">
        <f>'Orçamento '!C306</f>
        <v>PRÓPRIO</v>
      </c>
      <c r="D303" s="132" t="str">
        <f>'Orçamento '!D306</f>
        <v>REPOSICIONAR MOBILIÁRIO CONFORME NOVO LAYOUT</v>
      </c>
      <c r="E303" s="131" t="str">
        <f>'Orçamento '!E306</f>
        <v>UN</v>
      </c>
      <c r="F303" s="233">
        <v>1</v>
      </c>
      <c r="G303" s="65">
        <f>H304</f>
        <v>40.82</v>
      </c>
      <c r="H303" s="66">
        <f>G303*F303</f>
        <v>40.82</v>
      </c>
    </row>
    <row r="304" spans="1:8" x14ac:dyDescent="0.25">
      <c r="A304" s="60"/>
      <c r="B304" s="133" t="s">
        <v>299</v>
      </c>
      <c r="C304" s="61" t="s">
        <v>17</v>
      </c>
      <c r="D304" s="134" t="s">
        <v>77</v>
      </c>
      <c r="E304" s="61" t="s">
        <v>105</v>
      </c>
      <c r="F304" s="234">
        <v>2</v>
      </c>
      <c r="G304" s="62">
        <v>20.41</v>
      </c>
      <c r="H304" s="63">
        <f>G304*F304</f>
        <v>40.82</v>
      </c>
    </row>
    <row r="305" spans="1:9" s="68" customFormat="1" x14ac:dyDescent="0.25">
      <c r="A305" s="60"/>
      <c r="B305" s="61"/>
      <c r="C305" s="61"/>
      <c r="D305" s="61"/>
      <c r="E305" s="61"/>
      <c r="F305" s="234"/>
      <c r="G305" s="62"/>
      <c r="H305" s="63"/>
      <c r="I305" s="135"/>
    </row>
    <row r="306" spans="1:9" ht="30" x14ac:dyDescent="0.25">
      <c r="A306" s="59" t="str">
        <f>'Orçamento '!A307</f>
        <v>15.19</v>
      </c>
      <c r="B306" s="131" t="str">
        <f>'Orçamento '!B307</f>
        <v>TJMMG-CP-50</v>
      </c>
      <c r="C306" s="131" t="str">
        <f>'Orçamento '!C307</f>
        <v>PRÓPRIO</v>
      </c>
      <c r="D306" s="132" t="str">
        <f>'Orçamento '!D307</f>
        <v>REMANEJAMENTO DE MOBILIÁRIOS PARA TROCA DE PISO (VOLTAR PARA POSIÇÃO INICIAL)</v>
      </c>
      <c r="E306" s="131" t="str">
        <f>'Orçamento '!E307</f>
        <v>UN</v>
      </c>
      <c r="F306" s="233">
        <v>1</v>
      </c>
      <c r="G306" s="65">
        <f>H307</f>
        <v>40.82</v>
      </c>
      <c r="H306" s="66">
        <f>G306*F306</f>
        <v>40.82</v>
      </c>
    </row>
    <row r="307" spans="1:9" x14ac:dyDescent="0.25">
      <c r="A307" s="60"/>
      <c r="B307" s="133" t="s">
        <v>299</v>
      </c>
      <c r="C307" s="61" t="s">
        <v>17</v>
      </c>
      <c r="D307" s="134" t="s">
        <v>77</v>
      </c>
      <c r="E307" s="61" t="s">
        <v>105</v>
      </c>
      <c r="F307" s="234">
        <v>2</v>
      </c>
      <c r="G307" s="62">
        <v>20.41</v>
      </c>
      <c r="H307" s="63">
        <f>G307*F307</f>
        <v>40.82</v>
      </c>
    </row>
    <row r="308" spans="1:9" x14ac:dyDescent="0.25">
      <c r="A308" s="60"/>
      <c r="B308" s="133"/>
      <c r="C308" s="61"/>
      <c r="D308" s="134"/>
      <c r="E308" s="61"/>
      <c r="F308" s="234"/>
      <c r="G308" s="62"/>
      <c r="H308" s="63"/>
    </row>
    <row r="309" spans="1:9" ht="30" x14ac:dyDescent="0.25">
      <c r="A309" s="59" t="str">
        <f>'Orçamento '!A308</f>
        <v>15.20</v>
      </c>
      <c r="B309" s="131" t="str">
        <f>'Orçamento '!B308</f>
        <v>TJMMG-CP-51</v>
      </c>
      <c r="C309" s="131" t="str">
        <f>'Orçamento '!C308</f>
        <v>PRÓPRIO</v>
      </c>
      <c r="D309" s="132" t="str">
        <f>'Orçamento '!D308</f>
        <v>DESMONTAGEM, TRANSPORTE NO MESMO PAVIMENTO E MONTAGEM DOS ARQUIVOS DESLIZANTES PARA A SALA DO ARQUIVO RH</v>
      </c>
      <c r="E309" s="131" t="str">
        <f>'Orçamento '!E308</f>
        <v>UN</v>
      </c>
      <c r="F309" s="233">
        <v>1</v>
      </c>
      <c r="G309" s="65">
        <f>SUM(H310:H311)</f>
        <v>8368.41</v>
      </c>
      <c r="H309" s="66">
        <f>G309*F309</f>
        <v>8368.41</v>
      </c>
    </row>
    <row r="310" spans="1:9" x14ac:dyDescent="0.25">
      <c r="A310" s="60"/>
      <c r="B310" s="133" t="s">
        <v>298</v>
      </c>
      <c r="C310" s="61" t="s">
        <v>17</v>
      </c>
      <c r="D310" s="134" t="s">
        <v>136</v>
      </c>
      <c r="E310" s="61" t="s">
        <v>105</v>
      </c>
      <c r="F310" s="234">
        <v>187</v>
      </c>
      <c r="G310" s="62">
        <v>24.45</v>
      </c>
      <c r="H310" s="63">
        <f>G310*F310</f>
        <v>4572.1499999999996</v>
      </c>
      <c r="I310" s="255"/>
    </row>
    <row r="311" spans="1:9" x14ac:dyDescent="0.25">
      <c r="A311" s="60"/>
      <c r="B311" s="133" t="s">
        <v>299</v>
      </c>
      <c r="C311" s="61" t="s">
        <v>17</v>
      </c>
      <c r="D311" s="134" t="s">
        <v>77</v>
      </c>
      <c r="E311" s="61" t="s">
        <v>105</v>
      </c>
      <c r="F311" s="234">
        <v>186</v>
      </c>
      <c r="G311" s="62">
        <v>20.41</v>
      </c>
      <c r="H311" s="63">
        <f>G311*F311</f>
        <v>3796.26</v>
      </c>
    </row>
    <row r="312" spans="1:9" s="68" customFormat="1" x14ac:dyDescent="0.25">
      <c r="A312" s="60"/>
      <c r="B312" s="61"/>
      <c r="C312" s="61"/>
      <c r="D312" s="61"/>
      <c r="E312" s="61"/>
      <c r="F312" s="234"/>
      <c r="G312" s="62"/>
      <c r="H312" s="63"/>
      <c r="I312" s="135"/>
    </row>
    <row r="313" spans="1:9" x14ac:dyDescent="0.25">
      <c r="A313" s="59" t="str">
        <f>'Orçamento '!A309</f>
        <v>15.21</v>
      </c>
      <c r="B313" s="131" t="str">
        <f>'Orçamento '!B309</f>
        <v>TJMMG-CP-52</v>
      </c>
      <c r="C313" s="131" t="str">
        <f>'Orçamento '!C309</f>
        <v>PRÓPRIO</v>
      </c>
      <c r="D313" s="132" t="str">
        <f>'Orçamento '!D309</f>
        <v>MANUTENÇÃO DAS ESQUADRIAS NOS PONTOS DE INFILTRAÇÃO</v>
      </c>
      <c r="E313" s="131" t="str">
        <f>'Orçamento '!E309</f>
        <v>UN</v>
      </c>
      <c r="F313" s="233">
        <v>1</v>
      </c>
      <c r="G313" s="65">
        <f>SUM(H314:H315)</f>
        <v>688</v>
      </c>
      <c r="H313" s="66">
        <f>G313*F313</f>
        <v>688</v>
      </c>
    </row>
    <row r="314" spans="1:9" x14ac:dyDescent="0.25">
      <c r="A314" s="60"/>
      <c r="B314" s="133" t="s">
        <v>414</v>
      </c>
      <c r="C314" s="61" t="s">
        <v>17</v>
      </c>
      <c r="D314" s="134" t="s">
        <v>413</v>
      </c>
      <c r="E314" s="61" t="s">
        <v>105</v>
      </c>
      <c r="F314" s="234">
        <f>8*2</f>
        <v>16</v>
      </c>
      <c r="G314" s="62">
        <v>22.59</v>
      </c>
      <c r="H314" s="63">
        <f>G314*F314</f>
        <v>361.44</v>
      </c>
      <c r="I314" s="255"/>
    </row>
    <row r="315" spans="1:9" x14ac:dyDescent="0.25">
      <c r="A315" s="60"/>
      <c r="B315" s="61">
        <v>88316</v>
      </c>
      <c r="C315" s="61" t="s">
        <v>17</v>
      </c>
      <c r="D315" s="61" t="s">
        <v>77</v>
      </c>
      <c r="E315" s="61" t="s">
        <v>105</v>
      </c>
      <c r="F315" s="234">
        <f>8*2</f>
        <v>16</v>
      </c>
      <c r="G315" s="62">
        <v>20.41</v>
      </c>
      <c r="H315" s="63">
        <f>G315*F315</f>
        <v>326.56</v>
      </c>
    </row>
    <row r="316" spans="1:9" s="68" customFormat="1" x14ac:dyDescent="0.25">
      <c r="A316" s="60"/>
      <c r="B316" s="61"/>
      <c r="C316" s="61"/>
      <c r="D316" s="61"/>
      <c r="E316" s="61"/>
      <c r="F316" s="234"/>
      <c r="G316" s="62"/>
      <c r="H316" s="63"/>
      <c r="I316" s="135"/>
    </row>
    <row r="317" spans="1:9" x14ac:dyDescent="0.25">
      <c r="A317" s="59" t="str">
        <f>'Orçamento '!A312</f>
        <v>16.1</v>
      </c>
      <c r="B317" s="131" t="str">
        <f>'Orçamento '!B312</f>
        <v>TJMMG-CP-53</v>
      </c>
      <c r="C317" s="131" t="str">
        <f>'Orçamento '!C312</f>
        <v>PRÓPRIO</v>
      </c>
      <c r="D317" s="132" t="str">
        <f>'Orçamento '!D312</f>
        <v>TAMPONAMENTO E ISOLAMENTO DE TUBULAÇÕES HIDROSSANITÁRIAS INUTILIZADAS</v>
      </c>
      <c r="E317" s="131" t="str">
        <f>'Orçamento '!E312</f>
        <v>UN</v>
      </c>
      <c r="F317" s="233">
        <v>1</v>
      </c>
      <c r="G317" s="65">
        <f>SUM(H318:H322)</f>
        <v>346.22125</v>
      </c>
      <c r="H317" s="66">
        <f>G317*F317</f>
        <v>346.22125</v>
      </c>
    </row>
    <row r="318" spans="1:9" x14ac:dyDescent="0.25">
      <c r="A318" s="60"/>
      <c r="B318" s="133" t="s">
        <v>765</v>
      </c>
      <c r="C318" s="61" t="s">
        <v>17</v>
      </c>
      <c r="D318" s="134" t="s">
        <v>608</v>
      </c>
      <c r="E318" s="61" t="s">
        <v>105</v>
      </c>
      <c r="F318" s="234">
        <v>4</v>
      </c>
      <c r="G318" s="62">
        <v>27.38</v>
      </c>
      <c r="H318" s="63">
        <f t="shared" ref="H318:H322" si="53">G318*F318</f>
        <v>109.52</v>
      </c>
      <c r="I318" s="255"/>
    </row>
    <row r="319" spans="1:9" ht="30" x14ac:dyDescent="0.25">
      <c r="A319" s="60"/>
      <c r="B319" s="133" t="s">
        <v>766</v>
      </c>
      <c r="C319" s="61" t="s">
        <v>17</v>
      </c>
      <c r="D319" s="134" t="s">
        <v>767</v>
      </c>
      <c r="E319" s="61" t="s">
        <v>105</v>
      </c>
      <c r="F319" s="234">
        <v>4</v>
      </c>
      <c r="G319" s="62">
        <v>21.98</v>
      </c>
      <c r="H319" s="63">
        <f t="shared" si="53"/>
        <v>87.92</v>
      </c>
    </row>
    <row r="320" spans="1:9" ht="30" x14ac:dyDescent="0.25">
      <c r="A320" s="60"/>
      <c r="B320" s="133" t="s">
        <v>768</v>
      </c>
      <c r="C320" s="61" t="s">
        <v>17</v>
      </c>
      <c r="D320" s="134" t="s">
        <v>769</v>
      </c>
      <c r="E320" s="61" t="s">
        <v>107</v>
      </c>
      <c r="F320" s="234">
        <f>0.5*0.5</f>
        <v>0.25</v>
      </c>
      <c r="G320" s="62">
        <v>45.92</v>
      </c>
      <c r="H320" s="63">
        <f t="shared" si="53"/>
        <v>11.48</v>
      </c>
    </row>
    <row r="321" spans="1:9" ht="30" x14ac:dyDescent="0.25">
      <c r="A321" s="60"/>
      <c r="B321" s="133" t="s">
        <v>770</v>
      </c>
      <c r="C321" s="61" t="s">
        <v>17</v>
      </c>
      <c r="D321" s="134" t="s">
        <v>771</v>
      </c>
      <c r="E321" s="61" t="s">
        <v>5</v>
      </c>
      <c r="F321" s="234">
        <f>0.5*0.5*0.5</f>
        <v>0.125</v>
      </c>
      <c r="G321" s="62">
        <v>660.09</v>
      </c>
      <c r="H321" s="63">
        <f t="shared" si="53"/>
        <v>82.511250000000004</v>
      </c>
    </row>
    <row r="322" spans="1:9" ht="30" x14ac:dyDescent="0.25">
      <c r="A322" s="60"/>
      <c r="B322" s="133" t="s">
        <v>772</v>
      </c>
      <c r="C322" s="61" t="s">
        <v>17</v>
      </c>
      <c r="D322" s="134" t="s">
        <v>773</v>
      </c>
      <c r="E322" s="61" t="s">
        <v>107</v>
      </c>
      <c r="F322" s="234">
        <f>1*1</f>
        <v>1</v>
      </c>
      <c r="G322" s="62">
        <v>54.79</v>
      </c>
      <c r="H322" s="63">
        <f t="shared" si="53"/>
        <v>54.79</v>
      </c>
    </row>
    <row r="323" spans="1:9" x14ac:dyDescent="0.25">
      <c r="A323" s="60"/>
      <c r="B323" s="133"/>
      <c r="C323" s="61"/>
      <c r="D323" s="134"/>
      <c r="E323" s="61"/>
      <c r="F323" s="234"/>
      <c r="G323" s="62"/>
      <c r="H323" s="63"/>
    </row>
    <row r="324" spans="1:9" ht="30" x14ac:dyDescent="0.25">
      <c r="A324" s="59" t="str">
        <f>'Orçamento '!A313</f>
        <v>16.2</v>
      </c>
      <c r="B324" s="131" t="str">
        <f>'Orçamento '!B313</f>
        <v>TJMMG-CP-54</v>
      </c>
      <c r="C324" s="131" t="str">
        <f>'Orçamento '!C313</f>
        <v>PRÓPRIO</v>
      </c>
      <c r="D324" s="132" t="str">
        <f>'Orçamento '!D313</f>
        <v>INSPENÇÃO E MANUTENÇÃO DOS SHAFTS PARA DETECÇÃO E REPAROS SIMPLES DE POSSÍVEL VAZAMENTOS</v>
      </c>
      <c r="E324" s="131" t="str">
        <f>'Orçamento '!E313</f>
        <v>UN</v>
      </c>
      <c r="F324" s="233">
        <v>1</v>
      </c>
      <c r="G324" s="65">
        <f>SUM(H325:H326)</f>
        <v>789.76</v>
      </c>
      <c r="H324" s="66">
        <f>G324*F324</f>
        <v>789.76</v>
      </c>
    </row>
    <row r="325" spans="1:9" x14ac:dyDescent="0.25">
      <c r="A325" s="60"/>
      <c r="B325" s="133" t="s">
        <v>765</v>
      </c>
      <c r="C325" s="61" t="s">
        <v>17</v>
      </c>
      <c r="D325" s="134" t="s">
        <v>608</v>
      </c>
      <c r="E325" s="61" t="s">
        <v>105</v>
      </c>
      <c r="F325" s="234">
        <f>8*2</f>
        <v>16</v>
      </c>
      <c r="G325" s="62">
        <v>27.38</v>
      </c>
      <c r="H325" s="63">
        <f>G325*F325</f>
        <v>438.08</v>
      </c>
      <c r="I325" s="255"/>
    </row>
    <row r="326" spans="1:9" ht="30" x14ac:dyDescent="0.25">
      <c r="A326" s="60"/>
      <c r="B326" s="133" t="s">
        <v>766</v>
      </c>
      <c r="C326" s="61" t="s">
        <v>17</v>
      </c>
      <c r="D326" s="134" t="s">
        <v>767</v>
      </c>
      <c r="E326" s="61" t="s">
        <v>105</v>
      </c>
      <c r="F326" s="234">
        <f>8*2</f>
        <v>16</v>
      </c>
      <c r="G326" s="62">
        <v>21.98</v>
      </c>
      <c r="H326" s="63">
        <f>G326*F326</f>
        <v>351.68</v>
      </c>
    </row>
    <row r="327" spans="1:9" x14ac:dyDescent="0.25">
      <c r="A327" s="60"/>
      <c r="B327" s="133"/>
      <c r="C327" s="61"/>
      <c r="D327" s="134"/>
      <c r="E327" s="61"/>
      <c r="F327" s="234"/>
      <c r="G327" s="62"/>
      <c r="H327" s="63"/>
    </row>
    <row r="328" spans="1:9" x14ac:dyDescent="0.25">
      <c r="A328" s="59" t="str">
        <f>'Orçamento '!A314</f>
        <v>16.3</v>
      </c>
      <c r="B328" s="131" t="str">
        <f>'Orçamento '!B314</f>
        <v>TJMMG-CP-55</v>
      </c>
      <c r="C328" s="131" t="str">
        <f>'Orçamento '!C314</f>
        <v>PRÓPRIO</v>
      </c>
      <c r="D328" s="132" t="str">
        <f>'Orçamento '!D314</f>
        <v>MANUTENÇÃO DO TELHADO EXISTENTE</v>
      </c>
      <c r="E328" s="131" t="s">
        <v>107</v>
      </c>
      <c r="F328" s="233">
        <v>1</v>
      </c>
      <c r="G328" s="65">
        <f>SUM(H329)</f>
        <v>78.415000000000006</v>
      </c>
      <c r="H328" s="66">
        <f>G328*F328</f>
        <v>78.415000000000006</v>
      </c>
    </row>
    <row r="329" spans="1:9" ht="30" x14ac:dyDescent="0.25">
      <c r="A329" s="60"/>
      <c r="B329" s="133" t="s">
        <v>777</v>
      </c>
      <c r="C329" s="61" t="s">
        <v>17</v>
      </c>
      <c r="D329" s="134" t="s">
        <v>778</v>
      </c>
      <c r="E329" s="61" t="s">
        <v>107</v>
      </c>
      <c r="F329" s="234">
        <f>1*0.5</f>
        <v>0.5</v>
      </c>
      <c r="G329" s="62">
        <v>156.83000000000001</v>
      </c>
      <c r="H329" s="63">
        <f>G329*F329</f>
        <v>78.415000000000006</v>
      </c>
      <c r="I329" s="255"/>
    </row>
    <row r="330" spans="1:9" x14ac:dyDescent="0.25">
      <c r="A330" s="507" t="s">
        <v>776</v>
      </c>
      <c r="B330" s="508"/>
      <c r="C330" s="508"/>
      <c r="D330" s="508"/>
      <c r="E330" s="508"/>
      <c r="F330" s="508"/>
      <c r="G330" s="508"/>
      <c r="H330" s="509"/>
    </row>
    <row r="331" spans="1:9" s="68" customFormat="1" x14ac:dyDescent="0.25">
      <c r="A331" s="60"/>
      <c r="B331" s="61"/>
      <c r="C331" s="61"/>
      <c r="D331" s="61"/>
      <c r="E331" s="61"/>
      <c r="F331" s="234"/>
      <c r="G331" s="62"/>
      <c r="H331" s="63"/>
      <c r="I331" s="135"/>
    </row>
    <row r="332" spans="1:9" x14ac:dyDescent="0.25">
      <c r="A332" s="59" t="str">
        <f>'Orçamento '!A$317</f>
        <v>17.1</v>
      </c>
      <c r="B332" s="131" t="str">
        <f>'Orçamento '!B$317</f>
        <v>TJMMG-CP-56</v>
      </c>
      <c r="C332" s="131" t="str">
        <f>'Orçamento '!C$317</f>
        <v>PRÓPRIO</v>
      </c>
      <c r="D332" s="132" t="str">
        <f>'Orçamento '!D$317</f>
        <v xml:space="preserve">PROTEÇÃO DE PISO COM LONA E PLÁSTICO BOLHA </v>
      </c>
      <c r="E332" s="131" t="str">
        <f>'[6]Orçamento '!$E$273</f>
        <v>m²</v>
      </c>
      <c r="F332" s="233">
        <v>1</v>
      </c>
      <c r="G332" s="65">
        <f ca="1">SUM(H333:H335)</f>
        <v>5.7864664999999995</v>
      </c>
      <c r="H332" s="66">
        <f ca="1">G332*F332</f>
        <v>5.7864664999999995</v>
      </c>
    </row>
    <row r="333" spans="1:9" x14ac:dyDescent="0.25">
      <c r="A333" s="60"/>
      <c r="B333" s="133" t="str">
        <f>'COT.'!$A$92</f>
        <v>COT-16</v>
      </c>
      <c r="C333" s="61" t="s">
        <v>19</v>
      </c>
      <c r="D333" s="61" t="s">
        <v>415</v>
      </c>
      <c r="E333" s="61" t="s">
        <v>417</v>
      </c>
      <c r="F333" s="234">
        <v>7.6899999999999998E-3</v>
      </c>
      <c r="G333" s="62">
        <f ca="1">'COT.'!$E$92</f>
        <v>247.85</v>
      </c>
      <c r="H333" s="63">
        <f t="shared" ref="H333:H335" ca="1" si="54">G333*F333</f>
        <v>1.9059664999999999</v>
      </c>
    </row>
    <row r="334" spans="1:9" x14ac:dyDescent="0.25">
      <c r="A334" s="60"/>
      <c r="B334" s="61">
        <v>88316</v>
      </c>
      <c r="C334" s="61" t="s">
        <v>17</v>
      </c>
      <c r="D334" s="61" t="s">
        <v>18</v>
      </c>
      <c r="E334" s="61" t="s">
        <v>105</v>
      </c>
      <c r="F334" s="234">
        <f>(3/60)</f>
        <v>0.05</v>
      </c>
      <c r="G334" s="62">
        <v>20.41</v>
      </c>
      <c r="H334" s="63">
        <f t="shared" si="54"/>
        <v>1.0205</v>
      </c>
      <c r="I334" s="253"/>
    </row>
    <row r="335" spans="1:9" ht="15.75" thickBot="1" x14ac:dyDescent="0.3">
      <c r="A335" s="256"/>
      <c r="B335" s="257">
        <v>100718</v>
      </c>
      <c r="C335" s="257" t="s">
        <v>17</v>
      </c>
      <c r="D335" s="257" t="s">
        <v>416</v>
      </c>
      <c r="E335" s="257" t="s">
        <v>143</v>
      </c>
      <c r="F335" s="258">
        <v>2</v>
      </c>
      <c r="G335" s="259">
        <v>1.43</v>
      </c>
      <c r="H335" s="260">
        <f t="shared" si="54"/>
        <v>2.86</v>
      </c>
    </row>
  </sheetData>
  <autoFilter ref="D1:D335" xr:uid="{B100E58A-C4AA-49EF-9B1D-4679D3C4489A}"/>
  <mergeCells count="4">
    <mergeCell ref="A1:H1"/>
    <mergeCell ref="A11:H11"/>
    <mergeCell ref="A273:H273"/>
    <mergeCell ref="A330:H330"/>
  </mergeCells>
  <phoneticPr fontId="15" type="noConversion"/>
  <conditionalFormatting sqref="B4">
    <cfRule type="expression" dxfId="40" priority="1">
      <formula>B4=""</formula>
    </cfRule>
  </conditionalFormatting>
  <pageMargins left="0.511811024" right="0.511811024" top="0.78740157499999996" bottom="0.78740157499999996" header="0.31496062000000002" footer="0.31496062000000002"/>
  <pageSetup paperSize="9" scale="43" orientation="portrait" r:id="rId1"/>
  <rowBreaks count="3" manualBreakCount="3">
    <brk id="105" max="16383" man="1"/>
    <brk id="243" max="16383" man="1"/>
    <brk id="331" max="7" man="1"/>
  </rowBreaks>
  <colBreaks count="1" manualBreakCount="1">
    <brk id="8"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BDB0-91D6-4081-B750-C0F088DF93B8}">
  <dimension ref="A1:G343"/>
  <sheetViews>
    <sheetView view="pageBreakPreview" zoomScaleNormal="100" zoomScaleSheetLayoutView="100" workbookViewId="0">
      <selection sqref="A1:XFD1048576"/>
    </sheetView>
  </sheetViews>
  <sheetFormatPr defaultColWidth="9.140625" defaultRowHeight="15" x14ac:dyDescent="0.25"/>
  <cols>
    <col min="1" max="1" width="14.85546875" style="68" customWidth="1"/>
    <col min="2" max="2" width="88.5703125" style="68" customWidth="1"/>
    <col min="3" max="3" width="17.140625" style="68" customWidth="1"/>
    <col min="4" max="4" width="21.140625" style="68" customWidth="1"/>
    <col min="5" max="5" width="18.5703125" style="68" customWidth="1"/>
    <col min="6" max="7" width="12.85546875" style="68" bestFit="1" customWidth="1"/>
    <col min="8" max="16384" width="9.140625" style="68"/>
  </cols>
  <sheetData>
    <row r="1" spans="1:5" ht="65.25" customHeight="1" thickBot="1" x14ac:dyDescent="0.3">
      <c r="A1" s="510" t="s">
        <v>109</v>
      </c>
      <c r="B1" s="511"/>
      <c r="C1" s="511"/>
      <c r="D1" s="511"/>
      <c r="E1" s="512"/>
    </row>
    <row r="2" spans="1:5" ht="15.75" x14ac:dyDescent="0.25">
      <c r="A2" s="261" t="s">
        <v>110</v>
      </c>
      <c r="B2" s="262" t="s">
        <v>111</v>
      </c>
      <c r="C2" s="263"/>
      <c r="D2" s="264"/>
      <c r="E2" s="265" t="s">
        <v>1022</v>
      </c>
    </row>
    <row r="3" spans="1:5" x14ac:dyDescent="0.25">
      <c r="A3" s="266" t="s">
        <v>113</v>
      </c>
      <c r="B3" s="267" t="s">
        <v>114</v>
      </c>
      <c r="C3" s="268"/>
      <c r="D3" s="269"/>
      <c r="E3" s="270" t="str">
        <f>Resumo!D4</f>
        <v>SETEMBRO_2024</v>
      </c>
    </row>
    <row r="4" spans="1:5" ht="15.75" thickBot="1" x14ac:dyDescent="0.3">
      <c r="A4" s="271" t="s">
        <v>115</v>
      </c>
      <c r="B4" s="272" t="s">
        <v>867</v>
      </c>
      <c r="C4" s="273"/>
      <c r="D4" s="274" t="s">
        <v>116</v>
      </c>
      <c r="E4" s="275" t="s">
        <v>112</v>
      </c>
    </row>
    <row r="5" spans="1:5" ht="8.25" customHeight="1" thickBot="1" x14ac:dyDescent="0.3">
      <c r="A5" s="276"/>
      <c r="B5" s="277"/>
      <c r="C5" s="277"/>
      <c r="D5" s="277"/>
      <c r="E5" s="278"/>
    </row>
    <row r="6" spans="1:5" ht="15.75" thickBot="1" x14ac:dyDescent="0.3">
      <c r="A6" s="224" t="s">
        <v>19</v>
      </c>
      <c r="B6" s="279" t="s">
        <v>117</v>
      </c>
      <c r="C6" s="225" t="s">
        <v>118</v>
      </c>
      <c r="D6" s="277"/>
      <c r="E6" s="226" t="s">
        <v>119</v>
      </c>
    </row>
    <row r="7" spans="1:5" ht="15.75" thickBot="1" x14ac:dyDescent="0.3">
      <c r="A7" s="276"/>
      <c r="B7" s="277"/>
      <c r="C7" s="277"/>
      <c r="D7" s="277"/>
      <c r="E7" s="278"/>
    </row>
    <row r="8" spans="1:5" s="157" customFormat="1" ht="16.5" thickBot="1" x14ac:dyDescent="0.3">
      <c r="A8" s="81" t="s">
        <v>120</v>
      </c>
      <c r="B8" s="82" t="s">
        <v>133</v>
      </c>
      <c r="C8" s="83" t="s">
        <v>107</v>
      </c>
      <c r="D8" s="84"/>
      <c r="E8" s="85">
        <f ca="1">IFERROR(IF($E$4="MÉDIA",AVERAGE(OFFSET(E8,1,0,):OFFSET(E12,-1,0,)),IF($E$4="MEDIANA",MEDIAN(OFFSET(E8,1,0,):OFFSET(E12,-1,0,)),0)),0)</f>
        <v>29.474537037037035</v>
      </c>
    </row>
    <row r="9" spans="1:5" s="157" customFormat="1" x14ac:dyDescent="0.25">
      <c r="A9" s="86">
        <f ca="1">IFERROR(OFFSET(A9,-1,0)+1,1)</f>
        <v>1</v>
      </c>
      <c r="B9" s="87" t="s">
        <v>134</v>
      </c>
      <c r="C9" s="88" t="s">
        <v>107</v>
      </c>
      <c r="D9" s="89" t="s">
        <v>122</v>
      </c>
      <c r="E9" s="55">
        <f>151.95/(1.2*0.6*6)</f>
        <v>35.173611111111107</v>
      </c>
    </row>
    <row r="10" spans="1:5" s="157" customFormat="1" x14ac:dyDescent="0.25">
      <c r="A10" s="86">
        <f ca="1">IFERROR(OFFSET(A10,-1,0)+1,1)</f>
        <v>2</v>
      </c>
      <c r="B10" s="153" t="s">
        <v>135</v>
      </c>
      <c r="C10" s="154" t="s">
        <v>107</v>
      </c>
      <c r="D10" s="155" t="s">
        <v>122</v>
      </c>
      <c r="E10" s="56">
        <f>127.33/4.32</f>
        <v>29.474537037037035</v>
      </c>
    </row>
    <row r="11" spans="1:5" s="157" customFormat="1" ht="15.75" thickBot="1" x14ac:dyDescent="0.3">
      <c r="A11" s="86">
        <f ca="1">IFERROR(OFFSET(A11,-1,0)+1,1)</f>
        <v>3</v>
      </c>
      <c r="B11" s="153" t="s">
        <v>1007</v>
      </c>
      <c r="C11" s="154" t="s">
        <v>107</v>
      </c>
      <c r="D11" s="155" t="s">
        <v>122</v>
      </c>
      <c r="E11" s="56">
        <f>110/(1.2*0.6*6)</f>
        <v>25.462962962962962</v>
      </c>
    </row>
    <row r="12" spans="1:5" s="157" customFormat="1" ht="15.75" thickBot="1" x14ac:dyDescent="0.3">
      <c r="A12" s="280" t="s">
        <v>123</v>
      </c>
      <c r="B12" s="281"/>
      <c r="C12" s="281"/>
      <c r="D12" s="281"/>
      <c r="E12" s="282"/>
    </row>
    <row r="13" spans="1:5" ht="15.75" thickBot="1" x14ac:dyDescent="0.3">
      <c r="A13" s="276"/>
      <c r="B13" s="277"/>
      <c r="C13" s="277"/>
      <c r="D13" s="277"/>
      <c r="E13" s="278"/>
    </row>
    <row r="14" spans="1:5" s="157" customFormat="1" ht="16.5" thickBot="1" x14ac:dyDescent="0.3">
      <c r="A14" s="81" t="s">
        <v>139</v>
      </c>
      <c r="B14" s="82" t="s">
        <v>297</v>
      </c>
      <c r="C14" s="83" t="s">
        <v>143</v>
      </c>
      <c r="D14" s="84"/>
      <c r="E14" s="85">
        <f ca="1">IFERROR(IF($E$4="MÉDIA",AVERAGE(OFFSET(E14,1,0,):OFFSET(E18,-1,0,)),IF($E$4="MEDIANA",MEDIAN(OFFSET(E14,1,0,):OFFSET(E18,-1,0,)),0)),0)</f>
        <v>2.5129999999999999</v>
      </c>
    </row>
    <row r="15" spans="1:5" s="157" customFormat="1" x14ac:dyDescent="0.25">
      <c r="A15" s="86">
        <f ca="1">IFERROR(OFFSET(A15,-1,0)+1,1)</f>
        <v>1</v>
      </c>
      <c r="B15" s="87" t="s">
        <v>386</v>
      </c>
      <c r="C15" s="88" t="s">
        <v>143</v>
      </c>
      <c r="D15" s="89" t="s">
        <v>122</v>
      </c>
      <c r="E15" s="55">
        <f>25.13/10</f>
        <v>2.5129999999999999</v>
      </c>
    </row>
    <row r="16" spans="1:5" s="157" customFormat="1" x14ac:dyDescent="0.25">
      <c r="A16" s="86">
        <f ca="1">IFERROR(OFFSET(A16,-1,0)+1,1)</f>
        <v>2</v>
      </c>
      <c r="B16" s="153" t="s">
        <v>300</v>
      </c>
      <c r="C16" s="154" t="s">
        <v>143</v>
      </c>
      <c r="D16" s="155" t="s">
        <v>122</v>
      </c>
      <c r="E16" s="56">
        <f>22.87/10</f>
        <v>2.2869999999999999</v>
      </c>
    </row>
    <row r="17" spans="1:5" s="157" customFormat="1" ht="15.75" thickBot="1" x14ac:dyDescent="0.3">
      <c r="A17" s="86">
        <f ca="1">IFERROR(OFFSET(A17,-1,0)+1,1)</f>
        <v>3</v>
      </c>
      <c r="B17" s="153" t="s">
        <v>135</v>
      </c>
      <c r="C17" s="154" t="s">
        <v>143</v>
      </c>
      <c r="D17" s="155" t="s">
        <v>122</v>
      </c>
      <c r="E17" s="56">
        <f>42.9/10</f>
        <v>4.29</v>
      </c>
    </row>
    <row r="18" spans="1:5" s="157" customFormat="1" ht="15.75" thickBot="1" x14ac:dyDescent="0.3">
      <c r="A18" s="280" t="s">
        <v>123</v>
      </c>
      <c r="B18" s="281"/>
      <c r="C18" s="281"/>
      <c r="D18" s="281"/>
      <c r="E18" s="282"/>
    </row>
    <row r="19" spans="1:5" ht="15.75" thickBot="1" x14ac:dyDescent="0.3">
      <c r="A19" s="283"/>
      <c r="B19" s="284"/>
      <c r="C19" s="284"/>
      <c r="D19" s="284"/>
      <c r="E19" s="285"/>
    </row>
    <row r="20" spans="1:5" s="157" customFormat="1" ht="30.75" thickBot="1" x14ac:dyDescent="0.3">
      <c r="A20" s="81" t="s">
        <v>124</v>
      </c>
      <c r="B20" s="82" t="str">
        <f>'Orçamento '!$D$48</f>
        <v xml:space="preserve"> FORRO MINERAL REMOVÍVEL MODULAR (1250x625x15MM) THERMATEX ANTARIS.
ESTRUTURA APARENTE SK. COR BRANCO. REF. KANUF</v>
      </c>
      <c r="C20" s="83" t="s">
        <v>107</v>
      </c>
      <c r="D20" s="84"/>
      <c r="E20" s="85">
        <f ca="1">IFERROR(IF($E$4="MÉDIA",AVERAGE(OFFSET(E20,1,0,):OFFSET(E24,-1,0,)),IF($E$4="MEDIANA",MEDIAN(OFFSET(E20,1,0,):OFFSET(E24,-1,0,)),0)),0)</f>
        <v>107.30601792573623</v>
      </c>
    </row>
    <row r="21" spans="1:5" s="157" customFormat="1" x14ac:dyDescent="0.25">
      <c r="A21" s="86">
        <f ca="1">IFERROR(OFFSET(A21,-1,0)+1,1)</f>
        <v>1</v>
      </c>
      <c r="B21" s="87" t="s">
        <v>391</v>
      </c>
      <c r="C21" s="88" t="s">
        <v>107</v>
      </c>
      <c r="D21" s="89" t="s">
        <v>122</v>
      </c>
      <c r="E21" s="55">
        <f>634.2/7.81</f>
        <v>81.203585147247125</v>
      </c>
    </row>
    <row r="22" spans="1:5" s="157" customFormat="1" x14ac:dyDescent="0.25">
      <c r="A22" s="86">
        <f ca="1">IFERROR(OFFSET(A22,-1,0)+1,1)</f>
        <v>2</v>
      </c>
      <c r="B22" s="153" t="s">
        <v>392</v>
      </c>
      <c r="C22" s="154" t="s">
        <v>107</v>
      </c>
      <c r="D22" s="155" t="s">
        <v>122</v>
      </c>
      <c r="E22" s="56">
        <f>838.06/7.81</f>
        <v>107.30601792573623</v>
      </c>
    </row>
    <row r="23" spans="1:5" s="157" customFormat="1" ht="15.75" thickBot="1" x14ac:dyDescent="0.3">
      <c r="A23" s="86">
        <f ca="1">IFERROR(OFFSET(A23,-1,0)+1,1)</f>
        <v>3</v>
      </c>
      <c r="B23" s="153" t="s">
        <v>126</v>
      </c>
      <c r="C23" s="154" t="s">
        <v>107</v>
      </c>
      <c r="D23" s="155" t="s">
        <v>122</v>
      </c>
      <c r="E23" s="56">
        <f>920.19/7.81</f>
        <v>117.82202304737517</v>
      </c>
    </row>
    <row r="24" spans="1:5" s="157" customFormat="1" ht="15.75" thickBot="1" x14ac:dyDescent="0.3">
      <c r="A24" s="280" t="s">
        <v>123</v>
      </c>
      <c r="B24" s="281"/>
      <c r="C24" s="281"/>
      <c r="D24" s="281"/>
      <c r="E24" s="282"/>
    </row>
    <row r="25" spans="1:5" ht="15.75" thickBot="1" x14ac:dyDescent="0.3">
      <c r="A25" s="283"/>
      <c r="B25" s="284"/>
      <c r="C25" s="284"/>
      <c r="D25" s="284"/>
      <c r="E25" s="285"/>
    </row>
    <row r="26" spans="1:5" s="157" customFormat="1" ht="30.75" thickBot="1" x14ac:dyDescent="0.3">
      <c r="A26" s="81" t="s">
        <v>125</v>
      </c>
      <c r="B26" s="82" t="str">
        <f>'Orçamento '!$D$49</f>
        <v>FORRO MINERAL REMOVÍVEL MODULAR (625x625x15MM) AMF TOPIQ PRIME.
ESTRUTURA APARENTE SK. COR BRANCO. REF. KNAUF (OU OWA OPÇÃO BRILLIANTO)</v>
      </c>
      <c r="C26" s="83" t="s">
        <v>107</v>
      </c>
      <c r="D26" s="84"/>
      <c r="E26" s="85">
        <f ca="1">IFERROR(IF($E$4="MÉDIA",AVERAGE(OFFSET(E26,1,0,):OFFSET(E30,-1,0,)),IF($E$4="MEDIANA",MEDIAN(OFFSET(E26,1,0,):OFFSET(E30,-1,0,)),0)),0)</f>
        <v>140.76782449725778</v>
      </c>
    </row>
    <row r="27" spans="1:5" s="157" customFormat="1" x14ac:dyDescent="0.25">
      <c r="A27" s="86">
        <f ca="1">IFERROR(OFFSET(A27,-1,0)+1,1)</f>
        <v>1</v>
      </c>
      <c r="B27" s="87" t="s">
        <v>391</v>
      </c>
      <c r="C27" s="88" t="s">
        <v>107</v>
      </c>
      <c r="D27" s="89" t="s">
        <v>122</v>
      </c>
      <c r="E27" s="55">
        <f>604.94/5.47</f>
        <v>110.59232175502744</v>
      </c>
    </row>
    <row r="28" spans="1:5" s="157" customFormat="1" x14ac:dyDescent="0.25">
      <c r="A28" s="86">
        <f ca="1">IFERROR(OFFSET(A28,-1,0)+1,1)</f>
        <v>2</v>
      </c>
      <c r="B28" s="153" t="s">
        <v>1007</v>
      </c>
      <c r="C28" s="154" t="s">
        <v>107</v>
      </c>
      <c r="D28" s="155" t="s">
        <v>122</v>
      </c>
      <c r="E28" s="56">
        <f>770/5.47</f>
        <v>140.76782449725778</v>
      </c>
    </row>
    <row r="29" spans="1:5" s="157" customFormat="1" ht="15.75" thickBot="1" x14ac:dyDescent="0.3">
      <c r="A29" s="86">
        <f ca="1">IFERROR(OFFSET(A29,-1,0)+1,1)</f>
        <v>3</v>
      </c>
      <c r="B29" s="153" t="s">
        <v>135</v>
      </c>
      <c r="C29" s="154" t="s">
        <v>107</v>
      </c>
      <c r="D29" s="155" t="s">
        <v>122</v>
      </c>
      <c r="E29" s="56">
        <f>770/5.47</f>
        <v>140.76782449725778</v>
      </c>
    </row>
    <row r="30" spans="1:5" s="157" customFormat="1" ht="15.75" thickBot="1" x14ac:dyDescent="0.3">
      <c r="A30" s="280" t="s">
        <v>123</v>
      </c>
      <c r="B30" s="281"/>
      <c r="C30" s="281"/>
      <c r="D30" s="281"/>
      <c r="E30" s="282"/>
    </row>
    <row r="31" spans="1:5" ht="15.75" thickBot="1" x14ac:dyDescent="0.3">
      <c r="A31" s="283"/>
      <c r="B31" s="284"/>
      <c r="C31" s="284"/>
      <c r="D31" s="284"/>
      <c r="E31" s="285"/>
    </row>
    <row r="32" spans="1:5" s="157" customFormat="1" ht="16.5" thickBot="1" x14ac:dyDescent="0.3">
      <c r="A32" s="81" t="s">
        <v>390</v>
      </c>
      <c r="B32" s="82" t="s">
        <v>393</v>
      </c>
      <c r="C32" s="83" t="s">
        <v>157</v>
      </c>
      <c r="D32" s="84"/>
      <c r="E32" s="85">
        <f ca="1">IFERROR(IF($E$4="MÉDIA",AVERAGE(OFFSET(E32,1,0,):OFFSET(E36,-1,0,)),IF($E$4="MEDIANA",MEDIAN(OFFSET(E32,1,0,):OFFSET(E36,-1,0,)),0)),0)</f>
        <v>3.3</v>
      </c>
    </row>
    <row r="33" spans="1:6" s="157" customFormat="1" x14ac:dyDescent="0.25">
      <c r="A33" s="86">
        <f ca="1">IFERROR(OFFSET(A33,-1,0)+1,1)</f>
        <v>1</v>
      </c>
      <c r="B33" s="286" t="s">
        <v>394</v>
      </c>
      <c r="C33" s="287" t="s">
        <v>157</v>
      </c>
      <c r="D33" s="288" t="s">
        <v>122</v>
      </c>
      <c r="E33" s="289">
        <v>3.3</v>
      </c>
    </row>
    <row r="34" spans="1:6" s="157" customFormat="1" x14ac:dyDescent="0.25">
      <c r="A34" s="86">
        <f ca="1">IFERROR(OFFSET(A34,-1,0)+1,1)</f>
        <v>2</v>
      </c>
      <c r="B34" s="153" t="s">
        <v>392</v>
      </c>
      <c r="C34" s="290" t="s">
        <v>157</v>
      </c>
      <c r="D34" s="291" t="s">
        <v>122</v>
      </c>
      <c r="E34" s="292">
        <v>3.53</v>
      </c>
    </row>
    <row r="35" spans="1:6" s="157" customFormat="1" ht="15.75" thickBot="1" x14ac:dyDescent="0.3">
      <c r="A35" s="86">
        <f ca="1">IFERROR(OFFSET(A35,-1,0)+1,1)</f>
        <v>3</v>
      </c>
      <c r="B35" s="293" t="s">
        <v>300</v>
      </c>
      <c r="C35" s="294" t="s">
        <v>157</v>
      </c>
      <c r="D35" s="295" t="s">
        <v>122</v>
      </c>
      <c r="E35" s="296">
        <v>2.83</v>
      </c>
    </row>
    <row r="36" spans="1:6" s="157" customFormat="1" ht="15.75" thickBot="1" x14ac:dyDescent="0.3">
      <c r="A36" s="280" t="s">
        <v>123</v>
      </c>
      <c r="B36" s="281"/>
      <c r="C36" s="281"/>
      <c r="D36" s="281"/>
      <c r="E36" s="282"/>
    </row>
    <row r="37" spans="1:6" ht="15.75" thickBot="1" x14ac:dyDescent="0.3">
      <c r="A37" s="283"/>
      <c r="B37" s="284"/>
      <c r="C37" s="284"/>
      <c r="D37" s="284"/>
      <c r="E37" s="285"/>
    </row>
    <row r="38" spans="1:6" s="157" customFormat="1" ht="30.75" thickBot="1" x14ac:dyDescent="0.3">
      <c r="A38" s="81" t="s">
        <v>127</v>
      </c>
      <c r="B38" s="82" t="s">
        <v>352</v>
      </c>
      <c r="C38" s="83" t="s">
        <v>121</v>
      </c>
      <c r="D38" s="84"/>
      <c r="E38" s="85">
        <f ca="1">IFERROR(IF($E$4="MÉDIA",AVERAGE(OFFSET(E38,1,0,):OFFSET(E42,-1,0,)),IF($E$4="MEDIANA",MEDIAN(OFFSET(E38,1,0,):OFFSET(E42,-1,0,)),0)),0)</f>
        <v>116.4</v>
      </c>
    </row>
    <row r="39" spans="1:6" s="157" customFormat="1" x14ac:dyDescent="0.25">
      <c r="A39" s="86">
        <f ca="1">IFERROR(OFFSET(A39,-1,0)+1,1)</f>
        <v>1</v>
      </c>
      <c r="B39" s="87" t="s">
        <v>387</v>
      </c>
      <c r="C39" s="88" t="s">
        <v>107</v>
      </c>
      <c r="D39" s="89" t="s">
        <v>122</v>
      </c>
      <c r="E39" s="55">
        <v>116.4</v>
      </c>
    </row>
    <row r="40" spans="1:6" s="157" customFormat="1" x14ac:dyDescent="0.25">
      <c r="A40" s="86">
        <f ca="1">IFERROR(OFFSET(A40,-1,0)+1,1)</f>
        <v>2</v>
      </c>
      <c r="B40" s="153" t="s">
        <v>388</v>
      </c>
      <c r="C40" s="154" t="s">
        <v>107</v>
      </c>
      <c r="D40" s="155" t="s">
        <v>122</v>
      </c>
      <c r="E40" s="56">
        <f>39905.72/453.99</f>
        <v>87.899997797308316</v>
      </c>
      <c r="F40" s="158"/>
    </row>
    <row r="41" spans="1:6" s="157" customFormat="1" ht="15.75" thickBot="1" x14ac:dyDescent="0.3">
      <c r="A41" s="86">
        <f ca="1">IFERROR(OFFSET(A41,-1,0)+1,1)</f>
        <v>3</v>
      </c>
      <c r="B41" s="153" t="s">
        <v>389</v>
      </c>
      <c r="C41" s="154" t="s">
        <v>107</v>
      </c>
      <c r="D41" s="155" t="s">
        <v>122</v>
      </c>
      <c r="E41" s="56">
        <f>53457.33/453.99</f>
        <v>117.75001652018767</v>
      </c>
      <c r="F41" s="158"/>
    </row>
    <row r="42" spans="1:6" s="157" customFormat="1" ht="15.75" thickBot="1" x14ac:dyDescent="0.3">
      <c r="A42" s="280" t="s">
        <v>123</v>
      </c>
      <c r="B42" s="281"/>
      <c r="C42" s="281"/>
      <c r="D42" s="281"/>
      <c r="E42" s="282"/>
    </row>
    <row r="43" spans="1:6" ht="15.75" thickBot="1" x14ac:dyDescent="0.3">
      <c r="A43" s="283"/>
      <c r="B43" s="284"/>
      <c r="C43" s="284"/>
      <c r="D43" s="284"/>
      <c r="E43" s="285"/>
    </row>
    <row r="44" spans="1:6" s="157" customFormat="1" ht="30.75" thickBot="1" x14ac:dyDescent="0.3">
      <c r="A44" s="81" t="s">
        <v>128</v>
      </c>
      <c r="B44" s="82" t="s">
        <v>353</v>
      </c>
      <c r="C44" s="83" t="s">
        <v>107</v>
      </c>
      <c r="D44" s="84"/>
      <c r="E44" s="85">
        <f ca="1">IFERROR(IF($E$4="MÉDIA",AVERAGE(OFFSET(E44,1,0,):OFFSET(E48,-1,0,)),IF($E$4="MEDIANA",MEDIAN(OFFSET(E44,1,0,):OFFSET(E48,-1,0,)),0)),0)</f>
        <v>23.99</v>
      </c>
    </row>
    <row r="45" spans="1:6" s="157" customFormat="1" x14ac:dyDescent="0.25">
      <c r="A45" s="86">
        <f ca="1">IFERROR(OFFSET(A45,-1,0)+1,1)</f>
        <v>1</v>
      </c>
      <c r="B45" s="87" t="s">
        <v>400</v>
      </c>
      <c r="C45" s="88" t="s">
        <v>107</v>
      </c>
      <c r="D45" s="89" t="s">
        <v>122</v>
      </c>
      <c r="E45" s="55">
        <v>18.79</v>
      </c>
    </row>
    <row r="46" spans="1:6" s="157" customFormat="1" x14ac:dyDescent="0.25">
      <c r="A46" s="86">
        <f ca="1">IFERROR(OFFSET(A46,-1,0)+1,1)</f>
        <v>2</v>
      </c>
      <c r="B46" s="153" t="s">
        <v>401</v>
      </c>
      <c r="C46" s="154" t="s">
        <v>107</v>
      </c>
      <c r="D46" s="155" t="s">
        <v>122</v>
      </c>
      <c r="E46" s="56">
        <v>23.99</v>
      </c>
    </row>
    <row r="47" spans="1:6" s="157" customFormat="1" ht="15.75" thickBot="1" x14ac:dyDescent="0.3">
      <c r="A47" s="86">
        <f ca="1">IFERROR(OFFSET(A47,-1,0)+1,1)</f>
        <v>3</v>
      </c>
      <c r="B47" s="153" t="s">
        <v>1008</v>
      </c>
      <c r="C47" s="154" t="s">
        <v>107</v>
      </c>
      <c r="D47" s="155" t="s">
        <v>122</v>
      </c>
      <c r="E47" s="56">
        <v>35.99</v>
      </c>
    </row>
    <row r="48" spans="1:6" s="157" customFormat="1" ht="15.75" thickBot="1" x14ac:dyDescent="0.3">
      <c r="A48" s="280" t="s">
        <v>123</v>
      </c>
      <c r="B48" s="281"/>
      <c r="C48" s="281"/>
      <c r="D48" s="281"/>
      <c r="E48" s="282"/>
    </row>
    <row r="49" spans="1:6" ht="15.75" thickBot="1" x14ac:dyDescent="0.3">
      <c r="A49" s="283"/>
      <c r="B49" s="284"/>
      <c r="C49" s="284"/>
      <c r="D49" s="284"/>
      <c r="E49" s="285"/>
    </row>
    <row r="50" spans="1:6" s="157" customFormat="1" ht="30.75" thickBot="1" x14ac:dyDescent="0.3">
      <c r="A50" s="81" t="s">
        <v>141</v>
      </c>
      <c r="B50" s="82" t="str">
        <f>'Orçamento '!$D$124</f>
        <v>LUMINÁRIA PARA LÂMPADA LED DE EMBUTIR. COM ALETAS E REFLETORES PARABÓLICOS EM ALUMÍNIO 124X31CM</v>
      </c>
      <c r="C50" s="83" t="s">
        <v>157</v>
      </c>
      <c r="D50" s="84"/>
      <c r="E50" s="85">
        <f ca="1">IFERROR(IF($E$4="MÉDIA",AVERAGE(OFFSET(E50,1,0,):OFFSET(E54,-1,0,)),IF($E$4="MEDIANA",MEDIAN(OFFSET(E50,1,0,):OFFSET(E54,-1,0,)),0)),0)</f>
        <v>162.4</v>
      </c>
    </row>
    <row r="51" spans="1:6" s="157" customFormat="1" x14ac:dyDescent="0.25">
      <c r="A51" s="86">
        <f ca="1">IFERROR(OFFSET(A51,-1,0)+1,1)</f>
        <v>1</v>
      </c>
      <c r="B51" s="87" t="s">
        <v>405</v>
      </c>
      <c r="C51" s="287" t="s">
        <v>157</v>
      </c>
      <c r="D51" s="89" t="s">
        <v>122</v>
      </c>
      <c r="E51" s="55">
        <f>128.36+17.02*2</f>
        <v>162.4</v>
      </c>
    </row>
    <row r="52" spans="1:6" s="157" customFormat="1" x14ac:dyDescent="0.25">
      <c r="A52" s="86">
        <f ca="1">IFERROR(OFFSET(A52,-1,0)+1,1)</f>
        <v>2</v>
      </c>
      <c r="B52" s="153" t="s">
        <v>406</v>
      </c>
      <c r="C52" s="154" t="s">
        <v>157</v>
      </c>
      <c r="D52" s="155" t="s">
        <v>122</v>
      </c>
      <c r="E52" s="56">
        <f>109.82+14.28*2</f>
        <v>138.38</v>
      </c>
    </row>
    <row r="53" spans="1:6" s="157" customFormat="1" ht="15.75" thickBot="1" x14ac:dyDescent="0.3">
      <c r="A53" s="86">
        <f ca="1">IFERROR(OFFSET(A53,-1,0)+1,1)</f>
        <v>3</v>
      </c>
      <c r="B53" s="153" t="s">
        <v>301</v>
      </c>
      <c r="C53" s="154" t="s">
        <v>157</v>
      </c>
      <c r="D53" s="155" t="s">
        <v>122</v>
      </c>
      <c r="E53" s="56">
        <f>340</f>
        <v>340</v>
      </c>
    </row>
    <row r="54" spans="1:6" s="157" customFormat="1" ht="15.75" thickBot="1" x14ac:dyDescent="0.3">
      <c r="A54" s="280"/>
      <c r="B54" s="281"/>
      <c r="C54" s="281"/>
      <c r="D54" s="281"/>
      <c r="E54" s="282"/>
    </row>
    <row r="55" spans="1:6" ht="15.75" thickBot="1" x14ac:dyDescent="0.3">
      <c r="A55" s="283"/>
      <c r="B55" s="284"/>
      <c r="C55" s="284"/>
      <c r="D55" s="284"/>
      <c r="E55" s="285"/>
    </row>
    <row r="56" spans="1:6" s="157" customFormat="1" ht="30.75" thickBot="1" x14ac:dyDescent="0.3">
      <c r="A56" s="81" t="s">
        <v>142</v>
      </c>
      <c r="B56" s="82" t="str">
        <f>'Orçamento '!$D$125</f>
        <v>LUMINÁRIA PARA LÂMPADA LED DE EMBUTIR. COM ALETAS E REFLETORES PARABÓLICOS EM ALUMÍNIO 62X62CM</v>
      </c>
      <c r="C56" s="83" t="s">
        <v>157</v>
      </c>
      <c r="D56" s="84"/>
      <c r="E56" s="85">
        <f ca="1">IFERROR(IF($E$4="MÉDIA",AVERAGE(OFFSET(E56,1,0,):OFFSET(E60,-1,0,)),IF($E$4="MEDIANA",MEDIAN(OFFSET(E56,1,0,):OFFSET(E60,-1,0,)),0)),0)</f>
        <v>245.33999999999997</v>
      </c>
    </row>
    <row r="57" spans="1:6" s="157" customFormat="1" x14ac:dyDescent="0.25">
      <c r="A57" s="86">
        <f ca="1">IFERROR(OFFSET(A57,-1,0)+1,1)</f>
        <v>1</v>
      </c>
      <c r="B57" s="87" t="s">
        <v>405</v>
      </c>
      <c r="C57" s="287" t="s">
        <v>157</v>
      </c>
      <c r="D57" s="89" t="s">
        <v>122</v>
      </c>
      <c r="E57" s="55">
        <f>149.44+16.06*4</f>
        <v>213.68</v>
      </c>
    </row>
    <row r="58" spans="1:6" s="157" customFormat="1" x14ac:dyDescent="0.25">
      <c r="A58" s="86">
        <f ca="1">IFERROR(OFFSET(A58,-1,0)+1,1)</f>
        <v>2</v>
      </c>
      <c r="B58" s="153" t="s">
        <v>406</v>
      </c>
      <c r="C58" s="154" t="s">
        <v>157</v>
      </c>
      <c r="D58" s="155" t="s">
        <v>122</v>
      </c>
      <c r="E58" s="56">
        <f>193.54+12.95*4</f>
        <v>245.33999999999997</v>
      </c>
    </row>
    <row r="59" spans="1:6" s="157" customFormat="1" ht="15.75" thickBot="1" x14ac:dyDescent="0.3">
      <c r="A59" s="86">
        <f ca="1">IFERROR(OFFSET(A59,-1,0)+1,1)</f>
        <v>3</v>
      </c>
      <c r="B59" s="153" t="s">
        <v>301</v>
      </c>
      <c r="C59" s="154" t="s">
        <v>157</v>
      </c>
      <c r="D59" s="155" t="s">
        <v>122</v>
      </c>
      <c r="E59" s="56">
        <v>295</v>
      </c>
    </row>
    <row r="60" spans="1:6" s="157" customFormat="1" ht="15.75" thickBot="1" x14ac:dyDescent="0.3">
      <c r="A60" s="280"/>
      <c r="B60" s="281"/>
      <c r="C60" s="281"/>
      <c r="D60" s="281"/>
      <c r="E60" s="282"/>
    </row>
    <row r="61" spans="1:6" ht="15.75" thickBot="1" x14ac:dyDescent="0.3">
      <c r="A61" s="283"/>
      <c r="B61" s="284"/>
      <c r="C61" s="284"/>
      <c r="D61" s="284"/>
      <c r="E61" s="285"/>
    </row>
    <row r="62" spans="1:6" s="157" customFormat="1" ht="16.5" thickBot="1" x14ac:dyDescent="0.3">
      <c r="A62" s="81" t="s">
        <v>129</v>
      </c>
      <c r="B62" s="82" t="str">
        <f>'Orçamento '!D126</f>
        <v>PAINEL LED DE EMBUTIR SLIM 62X62CM</v>
      </c>
      <c r="C62" s="83" t="s">
        <v>157</v>
      </c>
      <c r="D62" s="84"/>
      <c r="E62" s="85">
        <f ca="1">IFERROR(IF($E$4="MÉDIA",AVERAGE(OFFSET(E62,1,0,):OFFSET(E66,-1,0,)),IF($E$4="MEDIANA",MEDIAN(OFFSET(E62,1,0,):OFFSET(E66,-1,0,)),0)),0)</f>
        <v>246.9</v>
      </c>
    </row>
    <row r="63" spans="1:6" s="157" customFormat="1" x14ac:dyDescent="0.25">
      <c r="A63" s="86">
        <f ca="1">IFERROR(OFFSET(A63,-1,0)+1,1)</f>
        <v>1</v>
      </c>
      <c r="B63" s="87" t="s">
        <v>405</v>
      </c>
      <c r="C63" s="287" t="s">
        <v>157</v>
      </c>
      <c r="D63" s="89" t="s">
        <v>122</v>
      </c>
      <c r="E63" s="55">
        <v>206.78</v>
      </c>
    </row>
    <row r="64" spans="1:6" s="157" customFormat="1" x14ac:dyDescent="0.25">
      <c r="A64" s="86">
        <f ca="1">IFERROR(OFFSET(A64,-1,0)+1,1)</f>
        <v>2</v>
      </c>
      <c r="B64" s="153" t="s">
        <v>406</v>
      </c>
      <c r="C64" s="154" t="s">
        <v>157</v>
      </c>
      <c r="D64" s="155" t="s">
        <v>122</v>
      </c>
      <c r="E64" s="56">
        <v>246.9</v>
      </c>
      <c r="F64" s="158"/>
    </row>
    <row r="65" spans="1:6" s="157" customFormat="1" ht="15.75" thickBot="1" x14ac:dyDescent="0.3">
      <c r="A65" s="86">
        <f ca="1">IFERROR(OFFSET(A65,-1,0)+1,1)</f>
        <v>3</v>
      </c>
      <c r="B65" s="153" t="s">
        <v>301</v>
      </c>
      <c r="C65" s="154" t="s">
        <v>157</v>
      </c>
      <c r="D65" s="155" t="s">
        <v>122</v>
      </c>
      <c r="E65" s="56">
        <v>390</v>
      </c>
      <c r="F65" s="158"/>
    </row>
    <row r="66" spans="1:6" ht="15.75" thickBot="1" x14ac:dyDescent="0.3">
      <c r="A66" s="297"/>
      <c r="B66" s="298"/>
      <c r="C66" s="298"/>
      <c r="D66" s="298"/>
      <c r="E66" s="299"/>
    </row>
    <row r="67" spans="1:6" s="157" customFormat="1" ht="45.75" thickBot="1" x14ac:dyDescent="0.3">
      <c r="A67" s="81" t="s">
        <v>130</v>
      </c>
      <c r="B67" s="82" t="str">
        <f>'Orçamento '!$D$268</f>
        <v>DV03: DIVISÓRIA PISO TETO COM 90MM DE ESPESSURA, E VIDRO DUPLO 8MM TEMPERADO. ESTRUTURA EM QUADROS PARA VIDRO DUPLO EM 100% ALUMÍNIO COM ACABAMENTO ANODIZADO NA COR PRETO.</v>
      </c>
      <c r="C67" s="83" t="s">
        <v>157</v>
      </c>
      <c r="D67" s="84"/>
      <c r="E67" s="85">
        <f ca="1">IFERROR(IF($E$4="MÉDIA",AVERAGE(OFFSET(E67,1,0,):OFFSET(E71,-1,0,)),IF($E$4="MEDIANA",MEDIAN(OFFSET(E67,1,0,):OFFSET(E71,-1,0,)),0)),0)</f>
        <v>88162.128599999982</v>
      </c>
    </row>
    <row r="68" spans="1:6" s="157" customFormat="1" x14ac:dyDescent="0.25">
      <c r="A68" s="86">
        <f ca="1">IFERROR(OFFSET(A68,-1,0)+1,1)</f>
        <v>1</v>
      </c>
      <c r="B68" s="87" t="s">
        <v>407</v>
      </c>
      <c r="C68" s="287" t="s">
        <v>157</v>
      </c>
      <c r="D68" s="89" t="s">
        <v>122</v>
      </c>
      <c r="E68" s="55">
        <f>1500.75*35.8</f>
        <v>53726.85</v>
      </c>
    </row>
    <row r="69" spans="1:6" s="157" customFormat="1" x14ac:dyDescent="0.25">
      <c r="A69" s="86">
        <f ca="1">IFERROR(OFFSET(A69,-1,0)+1,1)</f>
        <v>2</v>
      </c>
      <c r="B69" s="153" t="s">
        <v>408</v>
      </c>
      <c r="C69" s="154" t="s">
        <v>157</v>
      </c>
      <c r="D69" s="155" t="s">
        <v>122</v>
      </c>
      <c r="E69" s="56">
        <f>(5.05+5.83+7.05*2+3.73+6.78)*2484.14</f>
        <v>88162.128599999982</v>
      </c>
    </row>
    <row r="70" spans="1:6" s="157" customFormat="1" ht="15.75" thickBot="1" x14ac:dyDescent="0.3">
      <c r="A70" s="86">
        <f ca="1">IFERROR(OFFSET(A70,-1,0)+1,1)</f>
        <v>3</v>
      </c>
      <c r="B70" s="153" t="s">
        <v>409</v>
      </c>
      <c r="C70" s="154" t="s">
        <v>157</v>
      </c>
      <c r="D70" s="155" t="s">
        <v>122</v>
      </c>
      <c r="E70" s="56">
        <v>95090.98</v>
      </c>
    </row>
    <row r="71" spans="1:6" ht="15.75" thickBot="1" x14ac:dyDescent="0.3">
      <c r="A71" s="297"/>
      <c r="B71" s="298"/>
      <c r="C71" s="298"/>
      <c r="D71" s="298"/>
      <c r="E71" s="299"/>
    </row>
    <row r="72" spans="1:6" s="157" customFormat="1" ht="45.75" thickBot="1" x14ac:dyDescent="0.3">
      <c r="A72" s="81" t="s">
        <v>860</v>
      </c>
      <c r="B72" s="82" t="str">
        <f>'Orçamento '!$D$269</f>
        <v>DV04: DIVISÓRIA PISO TETO COM 90MM DE ESPESSURA, E VIDRO DUPLO 8MM TEMPERADO, COM PERSIANAS ENTRE VIDROS COR PRETO. ESTRUTURA EM QUADROS PARA VIDRO DUPLO EM 100% ALUMÍNIO COM ACABAMENTO ANODIZADO NA COR PRETO.</v>
      </c>
      <c r="C72" s="83" t="s">
        <v>157</v>
      </c>
      <c r="D72" s="84"/>
      <c r="E72" s="85">
        <f ca="1">IFERROR(IF($E$4="MÉDIA",AVERAGE(OFFSET(E72,1,0,):OFFSET(E76,-1,0,)),IF($E$4="MEDIANA",MEDIAN(OFFSET(E72,1,0,):OFFSET(E76,-1,0,)),0)),0)</f>
        <v>23761.57</v>
      </c>
    </row>
    <row r="73" spans="1:6" s="157" customFormat="1" x14ac:dyDescent="0.25">
      <c r="A73" s="300">
        <f ca="1">IFERROR(OFFSET(A73,-1,0)+1,1)</f>
        <v>1</v>
      </c>
      <c r="B73" s="301" t="s">
        <v>407</v>
      </c>
      <c r="C73" s="302" t="s">
        <v>157</v>
      </c>
      <c r="D73" s="303" t="s">
        <v>122</v>
      </c>
      <c r="E73" s="304">
        <f>2019.51*7.5</f>
        <v>15146.325000000001</v>
      </c>
    </row>
    <row r="74" spans="1:6" s="157" customFormat="1" x14ac:dyDescent="0.25">
      <c r="A74" s="86">
        <f ca="1">IFERROR(OFFSET(A74,-1,0)+1,1)</f>
        <v>2</v>
      </c>
      <c r="B74" s="153" t="s">
        <v>408</v>
      </c>
      <c r="C74" s="154" t="s">
        <v>157</v>
      </c>
      <c r="D74" s="155" t="s">
        <v>122</v>
      </c>
      <c r="E74" s="56">
        <f>7.52*3140.01+(361.08*14.66/2)</f>
        <v>26259.5916</v>
      </c>
    </row>
    <row r="75" spans="1:6" s="157" customFormat="1" ht="15.75" thickBot="1" x14ac:dyDescent="0.3">
      <c r="A75" s="86">
        <f ca="1">IFERROR(OFFSET(A75,-1,0)+1,1)</f>
        <v>3</v>
      </c>
      <c r="B75" s="153" t="s">
        <v>409</v>
      </c>
      <c r="C75" s="154" t="s">
        <v>157</v>
      </c>
      <c r="D75" s="155" t="s">
        <v>122</v>
      </c>
      <c r="E75" s="56">
        <v>23761.57</v>
      </c>
    </row>
    <row r="76" spans="1:6" ht="15.75" thickBot="1" x14ac:dyDescent="0.3">
      <c r="A76" s="297"/>
      <c r="B76" s="298"/>
      <c r="C76" s="298"/>
      <c r="D76" s="298"/>
      <c r="E76" s="299"/>
    </row>
    <row r="77" spans="1:6" s="157" customFormat="1" ht="60.75" thickBot="1" x14ac:dyDescent="0.3">
      <c r="A77" s="81" t="s">
        <v>861</v>
      </c>
      <c r="B77" s="82" t="str">
        <f>'Orçamento '!$D$270</f>
        <v>P04: PORTA PARA DIVISÓRIA COM VIDRO DUPLO 6MM TEMPERADO, COM PERSIANAS ENTRE VIDROS COR PRETO. ESTRUTURA EM ALUMÍNIO COM ACABAMENTO ANODIZADO NA COR PRETO. FECHADURA PARA PORTA 517 TUBULAR INOX INTERNO ST2 55 ROS 357 INOX PRETO FOSCO. FAB. LA FONTE OU EQUIVALENTE</v>
      </c>
      <c r="C77" s="83" t="s">
        <v>157</v>
      </c>
      <c r="D77" s="84"/>
      <c r="E77" s="85">
        <f ca="1">IFERROR(IF($E$4="MÉDIA",AVERAGE(OFFSET(E77,1,0,):OFFSET(E81,-1,0,)),IF($E$4="MEDIANA",MEDIAN(OFFSET(E77,1,0,):OFFSET(E81,-1,0,)),0)),0)</f>
        <v>10591.23</v>
      </c>
    </row>
    <row r="78" spans="1:6" s="157" customFormat="1" x14ac:dyDescent="0.25">
      <c r="A78" s="300">
        <f ca="1">IFERROR(OFFSET(A78,-1,0)+1,1)</f>
        <v>1</v>
      </c>
      <c r="B78" s="301" t="s">
        <v>407</v>
      </c>
      <c r="C78" s="302" t="s">
        <v>157</v>
      </c>
      <c r="D78" s="303" t="s">
        <v>122</v>
      </c>
      <c r="E78" s="304">
        <f>6128.23+555.45+83.02*2</f>
        <v>6849.7199999999993</v>
      </c>
    </row>
    <row r="79" spans="1:6" s="157" customFormat="1" x14ac:dyDescent="0.25">
      <c r="A79" s="86">
        <f ca="1">IFERROR(OFFSET(A79,-1,0)+1,1)</f>
        <v>2</v>
      </c>
      <c r="B79" s="153" t="s">
        <v>408</v>
      </c>
      <c r="C79" s="154" t="s">
        <v>157</v>
      </c>
      <c r="D79" s="155" t="s">
        <v>122</v>
      </c>
      <c r="E79" s="56">
        <f>12219.12+52.06</f>
        <v>12271.18</v>
      </c>
    </row>
    <row r="80" spans="1:6" s="157" customFormat="1" ht="15.75" thickBot="1" x14ac:dyDescent="0.3">
      <c r="A80" s="300">
        <f ca="1">IFERROR(OFFSET(A80,-1,0)+1,1)</f>
        <v>3</v>
      </c>
      <c r="B80" s="305" t="s">
        <v>409</v>
      </c>
      <c r="C80" s="306" t="s">
        <v>157</v>
      </c>
      <c r="D80" s="307" t="s">
        <v>122</v>
      </c>
      <c r="E80" s="308">
        <v>10591.23</v>
      </c>
    </row>
    <row r="81" spans="1:7" ht="15.75" thickBot="1" x14ac:dyDescent="0.3">
      <c r="A81" s="297"/>
      <c r="B81" s="298"/>
      <c r="C81" s="298"/>
      <c r="D81" s="298"/>
      <c r="E81" s="299"/>
    </row>
    <row r="82" spans="1:7" s="157" customFormat="1" ht="45.75" thickBot="1" x14ac:dyDescent="0.3">
      <c r="A82" s="81" t="s">
        <v>131</v>
      </c>
      <c r="B82" s="82" t="str">
        <f>'Orçamento '!$D$271</f>
        <v>P05: PORTA PARA DIVISÓRIA COM VIDRO DUPLO 6MM TEMPERADO. ESTRUTURA EM ALUMÍNIO COM ACABAMENTO ANODIZADO NA COR PRETO. FECHADURA PARA PORTA 517 TUBULAR INOX INTERNO ST2 55 ROS 357 INOX PRETO FOSCO. FAB. LA FONTE OU EQUIVALENTE.</v>
      </c>
      <c r="C82" s="83" t="s">
        <v>157</v>
      </c>
      <c r="D82" s="84"/>
      <c r="E82" s="85">
        <f ca="1">IFERROR(IF($E$4="MÉDIA",AVERAGE(OFFSET(E82,1,0,):OFFSET(E86,-1,0,)),IF($E$4="MEDIANA",MEDIAN(OFFSET(E82,1,0,):OFFSET(E86,-1,0,)),0)),0)</f>
        <v>8715.7000000000007</v>
      </c>
    </row>
    <row r="83" spans="1:7" s="157" customFormat="1" x14ac:dyDescent="0.25">
      <c r="A83" s="300">
        <f ca="1">IFERROR(OFFSET(A83,-1,0)+1,1)</f>
        <v>1</v>
      </c>
      <c r="B83" s="301" t="s">
        <v>407</v>
      </c>
      <c r="C83" s="302" t="s">
        <v>157</v>
      </c>
      <c r="D83" s="303" t="s">
        <v>122</v>
      </c>
      <c r="E83" s="304">
        <f>5253.54+555.45+83.03*2</f>
        <v>5975.05</v>
      </c>
      <c r="G83" s="309"/>
    </row>
    <row r="84" spans="1:7" s="157" customFormat="1" x14ac:dyDescent="0.25">
      <c r="A84" s="86">
        <f ca="1">IFERROR(OFFSET(A84,-1,0)+1,1)</f>
        <v>2</v>
      </c>
      <c r="B84" s="153" t="s">
        <v>408</v>
      </c>
      <c r="C84" s="154" t="s">
        <v>157</v>
      </c>
      <c r="D84" s="155" t="s">
        <v>122</v>
      </c>
      <c r="E84" s="56">
        <f>11014.79+52.06</f>
        <v>11066.85</v>
      </c>
    </row>
    <row r="85" spans="1:7" s="157" customFormat="1" ht="15.75" thickBot="1" x14ac:dyDescent="0.3">
      <c r="A85" s="86">
        <f ca="1">IFERROR(OFFSET(A85,-1,0)+1,1)</f>
        <v>3</v>
      </c>
      <c r="B85" s="153" t="s">
        <v>409</v>
      </c>
      <c r="C85" s="154" t="s">
        <v>157</v>
      </c>
      <c r="D85" s="155" t="s">
        <v>122</v>
      </c>
      <c r="E85" s="56">
        <v>8715.7000000000007</v>
      </c>
    </row>
    <row r="86" spans="1:7" ht="15.75" thickBot="1" x14ac:dyDescent="0.3">
      <c r="A86" s="297"/>
      <c r="B86" s="298"/>
      <c r="C86" s="298"/>
      <c r="D86" s="298"/>
      <c r="E86" s="299"/>
    </row>
    <row r="87" spans="1:7" s="157" customFormat="1" ht="16.5" thickBot="1" x14ac:dyDescent="0.3">
      <c r="A87" s="81" t="s">
        <v>132</v>
      </c>
      <c r="B87" s="82" t="s">
        <v>794</v>
      </c>
      <c r="C87" s="83" t="s">
        <v>157</v>
      </c>
      <c r="D87" s="84"/>
      <c r="E87" s="85">
        <f ca="1">IFERROR(IF($E$4="MÉDIA",AVERAGE(OFFSET(E87,1,0,):OFFSET(E91,-1,0,)),IF($E$4="MEDIANA",MEDIAN(OFFSET(E87,1,0,):OFFSET(E91,-1,0,)),0)),0)</f>
        <v>45</v>
      </c>
      <c r="G87" s="309"/>
    </row>
    <row r="88" spans="1:7" s="157" customFormat="1" x14ac:dyDescent="0.25">
      <c r="A88" s="86">
        <f ca="1">IFERROR(OFFSET(A88,-1,0)+1,1)</f>
        <v>1</v>
      </c>
      <c r="B88" s="87" t="s">
        <v>400</v>
      </c>
      <c r="C88" s="287" t="s">
        <v>157</v>
      </c>
      <c r="D88" s="89" t="s">
        <v>122</v>
      </c>
      <c r="E88" s="55">
        <v>45</v>
      </c>
    </row>
    <row r="89" spans="1:7" s="157" customFormat="1" x14ac:dyDescent="0.25">
      <c r="A89" s="86">
        <f ca="1">IFERROR(OFFSET(A89,-1,0)+1,1)</f>
        <v>2</v>
      </c>
      <c r="B89" s="153" t="s">
        <v>135</v>
      </c>
      <c r="C89" s="154" t="s">
        <v>157</v>
      </c>
      <c r="D89" s="155" t="s">
        <v>122</v>
      </c>
      <c r="E89" s="56">
        <v>45</v>
      </c>
    </row>
    <row r="90" spans="1:7" s="157" customFormat="1" ht="15.75" thickBot="1" x14ac:dyDescent="0.3">
      <c r="A90" s="86">
        <f ca="1">IFERROR(OFFSET(A90,-1,0)+1,1)</f>
        <v>3</v>
      </c>
      <c r="B90" s="153" t="s">
        <v>126</v>
      </c>
      <c r="C90" s="154" t="s">
        <v>157</v>
      </c>
      <c r="D90" s="155" t="s">
        <v>122</v>
      </c>
      <c r="E90" s="56">
        <v>74.069999999999993</v>
      </c>
    </row>
    <row r="91" spans="1:7" ht="15.75" thickBot="1" x14ac:dyDescent="0.3">
      <c r="A91" s="297"/>
      <c r="B91" s="298"/>
      <c r="C91" s="298"/>
      <c r="D91" s="298"/>
      <c r="E91" s="299"/>
    </row>
    <row r="92" spans="1:7" s="157" customFormat="1" ht="16.5" thickBot="1" x14ac:dyDescent="0.3">
      <c r="A92" s="81" t="s">
        <v>862</v>
      </c>
      <c r="B92" s="82" t="s">
        <v>415</v>
      </c>
      <c r="C92" s="83" t="s">
        <v>417</v>
      </c>
      <c r="D92" s="84"/>
      <c r="E92" s="85">
        <f ca="1">IFERROR(IF($E$4="MÉDIA",AVERAGE(OFFSET(E92,1,0,):OFFSET(E96,-1,0,)),IF($E$4="MEDIANA",MEDIAN(OFFSET(E92,1,0,):OFFSET(E96,-1,0,)),0)),0)</f>
        <v>247.85</v>
      </c>
    </row>
    <row r="93" spans="1:7" s="157" customFormat="1" x14ac:dyDescent="0.25">
      <c r="A93" s="86">
        <f ca="1">IFERROR(OFFSET(A93,-1,0)+1,1)</f>
        <v>1</v>
      </c>
      <c r="B93" s="286" t="s">
        <v>281</v>
      </c>
      <c r="C93" s="287" t="s">
        <v>417</v>
      </c>
      <c r="D93" s="288" t="s">
        <v>122</v>
      </c>
      <c r="E93" s="289">
        <v>247.85</v>
      </c>
    </row>
    <row r="94" spans="1:7" s="157" customFormat="1" x14ac:dyDescent="0.25">
      <c r="A94" s="86">
        <f ca="1">IFERROR(OFFSET(A94,-1,0)+1,1)</f>
        <v>2</v>
      </c>
      <c r="B94" s="310" t="s">
        <v>400</v>
      </c>
      <c r="C94" s="290" t="s">
        <v>417</v>
      </c>
      <c r="D94" s="291" t="s">
        <v>122</v>
      </c>
      <c r="E94" s="292">
        <v>207.34</v>
      </c>
    </row>
    <row r="95" spans="1:7" s="157" customFormat="1" ht="15.75" thickBot="1" x14ac:dyDescent="0.3">
      <c r="A95" s="86">
        <f ca="1">IFERROR(OFFSET(A95,-1,0)+1,1)</f>
        <v>3</v>
      </c>
      <c r="B95" s="310" t="s">
        <v>418</v>
      </c>
      <c r="C95" s="290" t="s">
        <v>417</v>
      </c>
      <c r="D95" s="291" t="s">
        <v>122</v>
      </c>
      <c r="E95" s="292">
        <v>282.38</v>
      </c>
    </row>
    <row r="96" spans="1:7" s="157" customFormat="1" ht="15.75" thickBot="1" x14ac:dyDescent="0.3">
      <c r="A96" s="280" t="s">
        <v>123</v>
      </c>
      <c r="B96" s="281"/>
      <c r="C96" s="281"/>
      <c r="D96" s="281"/>
      <c r="E96" s="282"/>
    </row>
    <row r="97" spans="1:6" ht="15.75" thickBot="1" x14ac:dyDescent="0.3">
      <c r="A97" s="283"/>
      <c r="B97" s="284"/>
      <c r="C97" s="284"/>
      <c r="D97" s="284"/>
      <c r="E97" s="285"/>
    </row>
    <row r="98" spans="1:6" ht="30.75" thickBot="1" x14ac:dyDescent="0.3">
      <c r="A98" s="311" t="s">
        <v>863</v>
      </c>
      <c r="B98" s="312" t="str">
        <f>'Orçamento '!$D$289</f>
        <v>M21: CORTINA ROLÔ TELA SOLAR CINZA CLARO. FATOR DE ABERTURA 1%.
COMPOSIÇÃO 25% POLIÉSTER E 75% PVC. ANTICHAMAS.</v>
      </c>
      <c r="C98" s="313" t="s">
        <v>121</v>
      </c>
      <c r="D98" s="314"/>
      <c r="E98" s="85">
        <f ca="1">IFERROR(IF($E$4="MÉDIA",AVERAGE(OFFSET(E98,1,0,):OFFSET(E102,-1,0,)),IF($E$4="MEDIANA",MEDIAN(OFFSET(E98,1,0,):OFFSET(E102,-1,0,)),0)),0)</f>
        <v>837.67</v>
      </c>
    </row>
    <row r="99" spans="1:6" ht="15.75" customHeight="1" x14ac:dyDescent="0.25">
      <c r="A99" s="86">
        <f ca="1">IFERROR(OFFSET(A99,-1,0)+1,1)</f>
        <v>1</v>
      </c>
      <c r="B99" s="75" t="s">
        <v>663</v>
      </c>
      <c r="C99" s="315" t="s">
        <v>121</v>
      </c>
      <c r="D99" s="89" t="s">
        <v>122</v>
      </c>
      <c r="E99" s="316">
        <v>837.67</v>
      </c>
      <c r="F99" s="157"/>
    </row>
    <row r="100" spans="1:6" ht="15.75" customHeight="1" x14ac:dyDescent="0.25">
      <c r="A100" s="86">
        <f ca="1">IFERROR(OFFSET(A100,-1,0)+1,1)</f>
        <v>2</v>
      </c>
      <c r="B100" s="156" t="s">
        <v>287</v>
      </c>
      <c r="C100" s="317" t="s">
        <v>121</v>
      </c>
      <c r="D100" s="155" t="s">
        <v>122</v>
      </c>
      <c r="E100" s="318">
        <v>996.65</v>
      </c>
    </row>
    <row r="101" spans="1:6" ht="15.75" customHeight="1" thickBot="1" x14ac:dyDescent="0.3">
      <c r="A101" s="86">
        <f ca="1">IFERROR(OFFSET(A101,-1,0)+1,1)</f>
        <v>3</v>
      </c>
      <c r="B101" s="156" t="s">
        <v>664</v>
      </c>
      <c r="C101" s="317" t="s">
        <v>121</v>
      </c>
      <c r="D101" s="155" t="s">
        <v>122</v>
      </c>
      <c r="E101" s="318">
        <v>595</v>
      </c>
      <c r="F101" s="157"/>
    </row>
    <row r="102" spans="1:6" ht="15.75" customHeight="1" thickBot="1" x14ac:dyDescent="0.3">
      <c r="A102" s="319" t="s">
        <v>123</v>
      </c>
      <c r="B102" s="320"/>
      <c r="C102" s="320"/>
      <c r="D102" s="320"/>
      <c r="E102" s="321"/>
    </row>
    <row r="103" spans="1:6" ht="15.75" customHeight="1" thickBot="1" x14ac:dyDescent="0.3">
      <c r="A103" s="322"/>
      <c r="B103" s="323"/>
      <c r="C103" s="323"/>
      <c r="D103" s="323"/>
      <c r="E103" s="324"/>
    </row>
    <row r="104" spans="1:6" ht="30.75" thickBot="1" x14ac:dyDescent="0.3">
      <c r="A104" s="311" t="s">
        <v>173</v>
      </c>
      <c r="B104" s="312" t="str">
        <f>'Orçamento '!$D$290</f>
        <v>M22: CORTINA ROLÔ TELA SOLAR CINZA CLARO. FATOR DE ABERTURA 1%.
COMPOSIÇÃO 25% POLIÉSTER E 75% PVC. ANTICHAMAS.</v>
      </c>
      <c r="C104" s="313" t="s">
        <v>121</v>
      </c>
      <c r="D104" s="314"/>
      <c r="E104" s="85">
        <f ca="1">IFERROR(IF($E$4="MÉDIA",AVERAGE(OFFSET(E104,1,0,):OFFSET(E108,-1,0,)),IF($E$4="MEDIANA",MEDIAN(OFFSET(E104,1,0,):OFFSET(E108,-1,0,)),0)),0)</f>
        <v>837.67</v>
      </c>
    </row>
    <row r="105" spans="1:6" ht="15.75" customHeight="1" x14ac:dyDescent="0.25">
      <c r="A105" s="86">
        <f ca="1">IFERROR(OFFSET(A105,-1,0)+1,1)</f>
        <v>1</v>
      </c>
      <c r="B105" s="75" t="s">
        <v>663</v>
      </c>
      <c r="C105" s="315" t="s">
        <v>121</v>
      </c>
      <c r="D105" s="89" t="s">
        <v>122</v>
      </c>
      <c r="E105" s="316">
        <v>837.67</v>
      </c>
      <c r="F105" s="157"/>
    </row>
    <row r="106" spans="1:6" ht="15.75" customHeight="1" x14ac:dyDescent="0.25">
      <c r="A106" s="86">
        <f ca="1">IFERROR(OFFSET(A106,-1,0)+1,1)</f>
        <v>2</v>
      </c>
      <c r="B106" s="156" t="s">
        <v>287</v>
      </c>
      <c r="C106" s="317" t="s">
        <v>121</v>
      </c>
      <c r="D106" s="155" t="s">
        <v>122</v>
      </c>
      <c r="E106" s="318">
        <v>996.65</v>
      </c>
    </row>
    <row r="107" spans="1:6" ht="15.75" customHeight="1" thickBot="1" x14ac:dyDescent="0.3">
      <c r="A107" s="86">
        <f ca="1">IFERROR(OFFSET(A107,-1,0)+1,1)</f>
        <v>3</v>
      </c>
      <c r="B107" s="156" t="s">
        <v>664</v>
      </c>
      <c r="C107" s="317" t="s">
        <v>121</v>
      </c>
      <c r="D107" s="155" t="s">
        <v>122</v>
      </c>
      <c r="E107" s="318">
        <v>595</v>
      </c>
      <c r="F107" s="157"/>
    </row>
    <row r="108" spans="1:6" ht="15.75" customHeight="1" thickBot="1" x14ac:dyDescent="0.3">
      <c r="A108" s="319" t="s">
        <v>123</v>
      </c>
      <c r="B108" s="320"/>
      <c r="C108" s="320"/>
      <c r="D108" s="320"/>
      <c r="E108" s="321"/>
    </row>
    <row r="109" spans="1:6" ht="15.75" customHeight="1" thickBot="1" x14ac:dyDescent="0.3">
      <c r="A109" s="322"/>
      <c r="B109" s="323"/>
      <c r="C109" s="323"/>
      <c r="D109" s="323"/>
      <c r="E109" s="324"/>
    </row>
    <row r="110" spans="1:6" ht="30.75" thickBot="1" x14ac:dyDescent="0.3">
      <c r="A110" s="311" t="s">
        <v>410</v>
      </c>
      <c r="B110" s="312" t="str">
        <f>'Orçamento '!$D$291</f>
        <v>M23: CORTINA ROLÔ TELA SOLAR CINZA CLARO. FATOR DE ABERTURA 1%.
COMPOSIÇÃO 25% POLIÉSTER E 75% PVC. ANTICHAMAS.</v>
      </c>
      <c r="C110" s="313" t="s">
        <v>121</v>
      </c>
      <c r="D110" s="314"/>
      <c r="E110" s="85">
        <f ca="1">IFERROR(IF($E$4="MÉDIA",AVERAGE(OFFSET(E110,1,0,):OFFSET(E114,-1,0,)),IF($E$4="MEDIANA",MEDIAN(OFFSET(E110,1,0,):OFFSET(E114,-1,0,)),0)),0)</f>
        <v>865.5</v>
      </c>
    </row>
    <row r="111" spans="1:6" ht="15.75" customHeight="1" x14ac:dyDescent="0.25">
      <c r="A111" s="86">
        <f ca="1">IFERROR(OFFSET(A111,-1,0)+1,1)</f>
        <v>1</v>
      </c>
      <c r="B111" s="75" t="s">
        <v>663</v>
      </c>
      <c r="C111" s="315" t="s">
        <v>121</v>
      </c>
      <c r="D111" s="89" t="s">
        <v>122</v>
      </c>
      <c r="E111" s="316">
        <v>865.5</v>
      </c>
      <c r="F111" s="157"/>
    </row>
    <row r="112" spans="1:6" ht="15.75" customHeight="1" x14ac:dyDescent="0.25">
      <c r="A112" s="86">
        <f ca="1">IFERROR(OFFSET(A112,-1,0)+1,1)</f>
        <v>2</v>
      </c>
      <c r="B112" s="156" t="s">
        <v>287</v>
      </c>
      <c r="C112" s="317" t="s">
        <v>121</v>
      </c>
      <c r="D112" s="155" t="s">
        <v>122</v>
      </c>
      <c r="E112" s="318">
        <v>1064.8499999999999</v>
      </c>
    </row>
    <row r="113" spans="1:6" ht="15.75" customHeight="1" thickBot="1" x14ac:dyDescent="0.3">
      <c r="A113" s="86">
        <f ca="1">IFERROR(OFFSET(A113,-1,0)+1,1)</f>
        <v>3</v>
      </c>
      <c r="B113" s="156" t="s">
        <v>664</v>
      </c>
      <c r="C113" s="317" t="s">
        <v>121</v>
      </c>
      <c r="D113" s="155" t="s">
        <v>122</v>
      </c>
      <c r="E113" s="318">
        <v>615</v>
      </c>
      <c r="F113" s="157"/>
    </row>
    <row r="114" spans="1:6" ht="15.75" customHeight="1" thickBot="1" x14ac:dyDescent="0.3">
      <c r="A114" s="319" t="s">
        <v>123</v>
      </c>
      <c r="B114" s="320"/>
      <c r="C114" s="320"/>
      <c r="D114" s="320"/>
      <c r="E114" s="321"/>
    </row>
    <row r="115" spans="1:6" ht="15.75" customHeight="1" thickBot="1" x14ac:dyDescent="0.3">
      <c r="A115" s="322"/>
      <c r="B115" s="323"/>
      <c r="C115" s="323"/>
      <c r="D115" s="323"/>
      <c r="E115" s="324"/>
    </row>
    <row r="116" spans="1:6" ht="31.5" customHeight="1" thickBot="1" x14ac:dyDescent="0.3">
      <c r="A116" s="311" t="s">
        <v>412</v>
      </c>
      <c r="B116" s="312" t="str">
        <f>'Orçamento '!$D$292</f>
        <v>M24: CORTINA ROLÔ TELA SOLAR CINZA CLARO. FATOR DE ABERTURA 1%.
COMPOSIÇÃO 25% POLIÉSTER E 75% PVC. ANTICHAMAS.</v>
      </c>
      <c r="C116" s="313" t="s">
        <v>121</v>
      </c>
      <c r="D116" s="314"/>
      <c r="E116" s="85">
        <f ca="1">IFERROR(IF($E$4="MÉDIA",AVERAGE(OFFSET(E116,1,0,):OFFSET(E120,-1,0,)),IF($E$4="MEDIANA",MEDIAN(OFFSET(E116,1,0,):OFFSET(E120,-1,0,)),0)),0)</f>
        <v>494.58</v>
      </c>
    </row>
    <row r="117" spans="1:6" ht="15.75" customHeight="1" x14ac:dyDescent="0.25">
      <c r="A117" s="86">
        <f ca="1">IFERROR(OFFSET(A117,-1,0)+1,1)</f>
        <v>1</v>
      </c>
      <c r="B117" s="75" t="s">
        <v>663</v>
      </c>
      <c r="C117" s="315" t="s">
        <v>121</v>
      </c>
      <c r="D117" s="89" t="s">
        <v>122</v>
      </c>
      <c r="E117" s="316">
        <v>494.58</v>
      </c>
      <c r="F117" s="157"/>
    </row>
    <row r="118" spans="1:6" ht="15.75" customHeight="1" x14ac:dyDescent="0.25">
      <c r="A118" s="86">
        <f ca="1">IFERROR(OFFSET(A118,-1,0)+1,1)</f>
        <v>2</v>
      </c>
      <c r="B118" s="156" t="s">
        <v>287</v>
      </c>
      <c r="C118" s="317" t="s">
        <v>121</v>
      </c>
      <c r="D118" s="155" t="s">
        <v>122</v>
      </c>
      <c r="E118" s="318">
        <v>723.86</v>
      </c>
    </row>
    <row r="119" spans="1:6" ht="15.75" customHeight="1" thickBot="1" x14ac:dyDescent="0.3">
      <c r="A119" s="86">
        <f ca="1">IFERROR(OFFSET(A119,-1,0)+1,1)</f>
        <v>3</v>
      </c>
      <c r="B119" s="156" t="s">
        <v>664</v>
      </c>
      <c r="C119" s="317" t="s">
        <v>121</v>
      </c>
      <c r="D119" s="155" t="s">
        <v>122</v>
      </c>
      <c r="E119" s="318">
        <v>330</v>
      </c>
      <c r="F119" s="157"/>
    </row>
    <row r="120" spans="1:6" ht="15.75" customHeight="1" thickBot="1" x14ac:dyDescent="0.3">
      <c r="A120" s="319" t="s">
        <v>123</v>
      </c>
      <c r="B120" s="320"/>
      <c r="C120" s="320"/>
      <c r="D120" s="320"/>
      <c r="E120" s="321"/>
    </row>
    <row r="121" spans="1:6" ht="15.75" customHeight="1" thickBot="1" x14ac:dyDescent="0.3">
      <c r="A121" s="322"/>
      <c r="B121" s="323"/>
      <c r="C121" s="323"/>
      <c r="D121" s="323"/>
      <c r="E121" s="324"/>
    </row>
    <row r="122" spans="1:6" ht="30.75" thickBot="1" x14ac:dyDescent="0.3">
      <c r="A122" s="311" t="s">
        <v>176</v>
      </c>
      <c r="B122" s="312" t="str">
        <f>'Orçamento '!$D$293</f>
        <v>M25: CORTINA ROLÔ TELA SOLAR CINZA CLARO. FATOR DE ABERTURA 1%.
COMPOSIÇÃO 25% POLIÉSTER E 75% PVC. ANTICHAMAS.</v>
      </c>
      <c r="C122" s="313" t="s">
        <v>121</v>
      </c>
      <c r="D122" s="314"/>
      <c r="E122" s="85">
        <f ca="1">IFERROR(IF($E$4="MÉDIA",AVERAGE(OFFSET(E122,1,0,):OFFSET(E126,-1,0,)),IF($E$4="MEDIANA",MEDIAN(OFFSET(E122,1,0,):OFFSET(E126,-1,0,)),0)),0)</f>
        <v>671.66</v>
      </c>
    </row>
    <row r="123" spans="1:6" ht="15.75" customHeight="1" x14ac:dyDescent="0.25">
      <c r="A123" s="86">
        <f ca="1">IFERROR(OFFSET(A123,-1,0)+1,1)</f>
        <v>1</v>
      </c>
      <c r="B123" s="75" t="s">
        <v>663</v>
      </c>
      <c r="C123" s="315" t="s">
        <v>121</v>
      </c>
      <c r="D123" s="89" t="s">
        <v>122</v>
      </c>
      <c r="E123" s="316">
        <v>671.66</v>
      </c>
      <c r="F123" s="157"/>
    </row>
    <row r="124" spans="1:6" ht="15.75" customHeight="1" x14ac:dyDescent="0.25">
      <c r="A124" s="86">
        <f ca="1">IFERROR(OFFSET(A124,-1,0)+1,1)</f>
        <v>2</v>
      </c>
      <c r="B124" s="156" t="s">
        <v>287</v>
      </c>
      <c r="C124" s="317" t="s">
        <v>121</v>
      </c>
      <c r="D124" s="155" t="s">
        <v>122</v>
      </c>
      <c r="E124" s="318">
        <v>860.26</v>
      </c>
    </row>
    <row r="125" spans="1:6" ht="15.75" customHeight="1" thickBot="1" x14ac:dyDescent="0.3">
      <c r="A125" s="86">
        <f ca="1">IFERROR(OFFSET(A125,-1,0)+1,1)</f>
        <v>3</v>
      </c>
      <c r="B125" s="156" t="s">
        <v>664</v>
      </c>
      <c r="C125" s="317" t="s">
        <v>121</v>
      </c>
      <c r="D125" s="155" t="s">
        <v>122</v>
      </c>
      <c r="E125" s="318">
        <v>450</v>
      </c>
      <c r="F125" s="157"/>
    </row>
    <row r="126" spans="1:6" ht="15.75" customHeight="1" thickBot="1" x14ac:dyDescent="0.3">
      <c r="A126" s="319" t="s">
        <v>123</v>
      </c>
      <c r="B126" s="320"/>
      <c r="C126" s="320"/>
      <c r="D126" s="320"/>
      <c r="E126" s="321"/>
    </row>
    <row r="127" spans="1:6" ht="15.75" customHeight="1" thickBot="1" x14ac:dyDescent="0.3">
      <c r="A127" s="322"/>
      <c r="B127" s="323"/>
      <c r="C127" s="323"/>
      <c r="D127" s="323"/>
      <c r="E127" s="324"/>
    </row>
    <row r="128" spans="1:6" ht="30.75" thickBot="1" x14ac:dyDescent="0.3">
      <c r="A128" s="311" t="s">
        <v>177</v>
      </c>
      <c r="B128" s="312" t="str">
        <f>'Orçamento '!$D$294</f>
        <v>M26: CORTINA ROLÔ TELA SOLAR CINZA CLARO. FATOR DE ABERTURA 1%.
COMPOSIÇÃO 25% POLIÉSTER E 75% PVC. ANTICHAMAS.</v>
      </c>
      <c r="C128" s="313" t="s">
        <v>121</v>
      </c>
      <c r="D128" s="314"/>
      <c r="E128" s="85">
        <f ca="1">IFERROR(IF($E$4="MÉDIA",AVERAGE(OFFSET(E128,1,0,):OFFSET(E132,-1,0,)),IF($E$4="MEDIANA",MEDIAN(OFFSET(E128,1,0,):OFFSET(E132,-1,0,)),0)),0)</f>
        <v>757.16</v>
      </c>
    </row>
    <row r="129" spans="1:6" ht="15.75" customHeight="1" x14ac:dyDescent="0.25">
      <c r="A129" s="86">
        <f ca="1">IFERROR(OFFSET(A129,-1,0)+1,1)</f>
        <v>1</v>
      </c>
      <c r="B129" s="75" t="s">
        <v>663</v>
      </c>
      <c r="C129" s="315" t="s">
        <v>121</v>
      </c>
      <c r="D129" s="89" t="s">
        <v>122</v>
      </c>
      <c r="E129" s="316">
        <v>757.16</v>
      </c>
      <c r="F129" s="157"/>
    </row>
    <row r="130" spans="1:6" ht="15.75" customHeight="1" x14ac:dyDescent="0.25">
      <c r="A130" s="86">
        <f ca="1">IFERROR(OFFSET(A130,-1,0)+1,1)</f>
        <v>2</v>
      </c>
      <c r="B130" s="156" t="s">
        <v>287</v>
      </c>
      <c r="C130" s="317" t="s">
        <v>121</v>
      </c>
      <c r="D130" s="155" t="s">
        <v>122</v>
      </c>
      <c r="E130" s="318">
        <v>996.65</v>
      </c>
    </row>
    <row r="131" spans="1:6" ht="15.75" customHeight="1" thickBot="1" x14ac:dyDescent="0.3">
      <c r="A131" s="86">
        <f ca="1">IFERROR(OFFSET(A131,-1,0)+1,1)</f>
        <v>3</v>
      </c>
      <c r="B131" s="156" t="s">
        <v>664</v>
      </c>
      <c r="C131" s="317" t="s">
        <v>121</v>
      </c>
      <c r="D131" s="155" t="s">
        <v>122</v>
      </c>
      <c r="E131" s="318">
        <v>505</v>
      </c>
      <c r="F131" s="157"/>
    </row>
    <row r="132" spans="1:6" ht="15.75" customHeight="1" thickBot="1" x14ac:dyDescent="0.3">
      <c r="A132" s="319" t="s">
        <v>123</v>
      </c>
      <c r="B132" s="320"/>
      <c r="C132" s="320"/>
      <c r="D132" s="320"/>
      <c r="E132" s="321"/>
    </row>
    <row r="133" spans="1:6" ht="15.75" customHeight="1" thickBot="1" x14ac:dyDescent="0.3">
      <c r="A133" s="322"/>
      <c r="B133" s="323"/>
      <c r="C133" s="323"/>
      <c r="D133" s="323"/>
      <c r="E133" s="324"/>
    </row>
    <row r="134" spans="1:6" ht="30.75" thickBot="1" x14ac:dyDescent="0.3">
      <c r="A134" s="311" t="s">
        <v>561</v>
      </c>
      <c r="B134" s="312" t="str">
        <f>'Orçamento '!$D$295</f>
        <v>M27: CORTINA ROLÔ TELA SOLAR CINZA CLARO. FATOR DE ABERTURA 1%.
COMPOSIÇÃO 25% POLIÉSTER E 75% PVC. ANTICHAMAS.</v>
      </c>
      <c r="C134" s="313" t="s">
        <v>121</v>
      </c>
      <c r="D134" s="314"/>
      <c r="E134" s="85">
        <f ca="1">IFERROR(IF($E$4="MÉDIA",AVERAGE(OFFSET(E134,1,0,):OFFSET(E138,-1,0,)),IF($E$4="MEDIANA",MEDIAN(OFFSET(E134,1,0,):OFFSET(E138,-1,0,)),0)),0)</f>
        <v>781.57</v>
      </c>
    </row>
    <row r="135" spans="1:6" ht="15.75" customHeight="1" x14ac:dyDescent="0.25">
      <c r="A135" s="86">
        <f ca="1">IFERROR(OFFSET(A135,-1,0)+1,1)</f>
        <v>1</v>
      </c>
      <c r="B135" s="75" t="s">
        <v>663</v>
      </c>
      <c r="C135" s="315" t="s">
        <v>121</v>
      </c>
      <c r="D135" s="89" t="s">
        <v>122</v>
      </c>
      <c r="E135" s="316">
        <v>781.57</v>
      </c>
      <c r="F135" s="157"/>
    </row>
    <row r="136" spans="1:6" ht="15.75" customHeight="1" x14ac:dyDescent="0.25">
      <c r="A136" s="86">
        <f ca="1">IFERROR(OFFSET(A136,-1,0)+1,1)</f>
        <v>2</v>
      </c>
      <c r="B136" s="156" t="s">
        <v>287</v>
      </c>
      <c r="C136" s="317" t="s">
        <v>121</v>
      </c>
      <c r="D136" s="155" t="s">
        <v>122</v>
      </c>
      <c r="E136" s="318">
        <v>996.65</v>
      </c>
    </row>
    <row r="137" spans="1:6" ht="15.75" customHeight="1" thickBot="1" x14ac:dyDescent="0.3">
      <c r="A137" s="86">
        <f ca="1">IFERROR(OFFSET(A137,-1,0)+1,1)</f>
        <v>3</v>
      </c>
      <c r="B137" s="156" t="s">
        <v>664</v>
      </c>
      <c r="C137" s="317" t="s">
        <v>121</v>
      </c>
      <c r="D137" s="155" t="s">
        <v>122</v>
      </c>
      <c r="E137" s="318">
        <v>520</v>
      </c>
      <c r="F137" s="157"/>
    </row>
    <row r="138" spans="1:6" ht="15.75" customHeight="1" thickBot="1" x14ac:dyDescent="0.3">
      <c r="A138" s="319" t="s">
        <v>123</v>
      </c>
      <c r="B138" s="320"/>
      <c r="C138" s="320"/>
      <c r="D138" s="320"/>
      <c r="E138" s="321"/>
    </row>
    <row r="139" spans="1:6" ht="15.75" customHeight="1" thickBot="1" x14ac:dyDescent="0.3">
      <c r="A139" s="322"/>
      <c r="B139" s="323"/>
      <c r="C139" s="323"/>
      <c r="D139" s="323"/>
      <c r="E139" s="324"/>
    </row>
    <row r="140" spans="1:6" ht="30.75" thickBot="1" x14ac:dyDescent="0.3">
      <c r="A140" s="311" t="s">
        <v>562</v>
      </c>
      <c r="B140" s="312" t="str">
        <f>'Orçamento '!$D$296</f>
        <v>M28: CORTINA ROLÔ TELA SOLAR CINZA CLARO. FATOR DE ABERTURA 1%.
COMPOSIÇÃO 25% POLIÉSTER E 75% PVC. ANTICHAMAS.</v>
      </c>
      <c r="C140" s="313" t="s">
        <v>121</v>
      </c>
      <c r="D140" s="314"/>
      <c r="E140" s="85">
        <f ca="1">IFERROR(IF($E$4="MÉDIA",AVERAGE(OFFSET(E140,1,0,):OFFSET(E144,-1,0,)),IF($E$4="MEDIANA",MEDIAN(OFFSET(E140,1,0,):OFFSET(E144,-1,0,)),0)),0)</f>
        <v>793.78</v>
      </c>
    </row>
    <row r="141" spans="1:6" ht="15.75" customHeight="1" x14ac:dyDescent="0.25">
      <c r="A141" s="86">
        <f ca="1">IFERROR(OFFSET(A141,-1,0)+1,1)</f>
        <v>1</v>
      </c>
      <c r="B141" s="75" t="s">
        <v>663</v>
      </c>
      <c r="C141" s="315" t="s">
        <v>121</v>
      </c>
      <c r="D141" s="89" t="s">
        <v>122</v>
      </c>
      <c r="E141" s="316">
        <v>793.78</v>
      </c>
      <c r="F141" s="157"/>
    </row>
    <row r="142" spans="1:6" ht="15.75" customHeight="1" x14ac:dyDescent="0.25">
      <c r="A142" s="86">
        <f ca="1">IFERROR(OFFSET(A142,-1,0)+1,1)</f>
        <v>2</v>
      </c>
      <c r="B142" s="156" t="s">
        <v>287</v>
      </c>
      <c r="C142" s="317" t="s">
        <v>121</v>
      </c>
      <c r="D142" s="155" t="s">
        <v>122</v>
      </c>
      <c r="E142" s="318">
        <v>996.65</v>
      </c>
    </row>
    <row r="143" spans="1:6" ht="15.75" customHeight="1" thickBot="1" x14ac:dyDescent="0.3">
      <c r="A143" s="86">
        <f ca="1">IFERROR(OFFSET(A143,-1,0)+1,1)</f>
        <v>3</v>
      </c>
      <c r="B143" s="156" t="s">
        <v>664</v>
      </c>
      <c r="C143" s="317" t="s">
        <v>121</v>
      </c>
      <c r="D143" s="155" t="s">
        <v>122</v>
      </c>
      <c r="E143" s="318">
        <v>530</v>
      </c>
      <c r="F143" s="157"/>
    </row>
    <row r="144" spans="1:6" ht="15.75" customHeight="1" thickBot="1" x14ac:dyDescent="0.3">
      <c r="A144" s="319" t="s">
        <v>123</v>
      </c>
      <c r="B144" s="320"/>
      <c r="C144" s="320"/>
      <c r="D144" s="320"/>
      <c r="E144" s="321"/>
    </row>
    <row r="145" spans="1:6" ht="15.75" customHeight="1" thickBot="1" x14ac:dyDescent="0.3">
      <c r="A145" s="322"/>
      <c r="B145" s="323"/>
      <c r="C145" s="323"/>
      <c r="D145" s="323"/>
      <c r="E145" s="324"/>
    </row>
    <row r="146" spans="1:6" ht="30.75" thickBot="1" x14ac:dyDescent="0.3">
      <c r="A146" s="311" t="s">
        <v>563</v>
      </c>
      <c r="B146" s="312" t="str">
        <f>'Orçamento '!$D$297</f>
        <v>M29: CORTINA ROLÔ TELA SOLAR CINZA CLARO. FATOR DE ABERTURA 1%.
COMPOSIÇÃO 25% POLIÉSTER E 75% PVC. ANTICHAMAS.</v>
      </c>
      <c r="C146" s="313" t="s">
        <v>121</v>
      </c>
      <c r="D146" s="314"/>
      <c r="E146" s="85">
        <f ca="1">IFERROR(IF($E$4="MÉDIA",AVERAGE(OFFSET(E146,1,0,):OFFSET(E150,-1,0,)),IF($E$4="MEDIANA",MEDIAN(OFFSET(E146,1,0,):OFFSET(E150,-1,0,)),0)),0)</f>
        <v>549.54</v>
      </c>
    </row>
    <row r="147" spans="1:6" ht="15.75" customHeight="1" x14ac:dyDescent="0.25">
      <c r="A147" s="86">
        <f ca="1">IFERROR(OFFSET(A147,-1,0)+1,1)</f>
        <v>1</v>
      </c>
      <c r="B147" s="75" t="s">
        <v>663</v>
      </c>
      <c r="C147" s="315" t="s">
        <v>121</v>
      </c>
      <c r="D147" s="89" t="s">
        <v>122</v>
      </c>
      <c r="E147" s="316">
        <v>549.54</v>
      </c>
      <c r="F147" s="157"/>
    </row>
    <row r="148" spans="1:6" ht="15.75" customHeight="1" x14ac:dyDescent="0.25">
      <c r="A148" s="86">
        <f ca="1">IFERROR(OFFSET(A148,-1,0)+1,1)</f>
        <v>2</v>
      </c>
      <c r="B148" s="156" t="s">
        <v>287</v>
      </c>
      <c r="C148" s="317" t="s">
        <v>121</v>
      </c>
      <c r="D148" s="155" t="s">
        <v>122</v>
      </c>
      <c r="E148" s="318">
        <v>723.86</v>
      </c>
    </row>
    <row r="149" spans="1:6" ht="15.75" customHeight="1" thickBot="1" x14ac:dyDescent="0.3">
      <c r="A149" s="86">
        <f ca="1">IFERROR(OFFSET(A149,-1,0)+1,1)</f>
        <v>3</v>
      </c>
      <c r="B149" s="156" t="s">
        <v>664</v>
      </c>
      <c r="C149" s="317" t="s">
        <v>121</v>
      </c>
      <c r="D149" s="155" t="s">
        <v>122</v>
      </c>
      <c r="E149" s="318">
        <v>370</v>
      </c>
      <c r="F149" s="157"/>
    </row>
    <row r="150" spans="1:6" ht="15.75" customHeight="1" thickBot="1" x14ac:dyDescent="0.3">
      <c r="A150" s="319" t="s">
        <v>123</v>
      </c>
      <c r="B150" s="320"/>
      <c r="C150" s="320"/>
      <c r="D150" s="320"/>
      <c r="E150" s="321"/>
    </row>
    <row r="151" spans="1:6" ht="15.75" customHeight="1" thickBot="1" x14ac:dyDescent="0.3">
      <c r="A151" s="322"/>
      <c r="B151" s="323"/>
      <c r="C151" s="323"/>
      <c r="D151" s="323"/>
      <c r="E151" s="324"/>
    </row>
    <row r="152" spans="1:6" ht="30.75" thickBot="1" x14ac:dyDescent="0.3">
      <c r="A152" s="311" t="s">
        <v>256</v>
      </c>
      <c r="B152" s="312" t="str">
        <f>'Orçamento '!$D$298</f>
        <v>M30: CORTINA ROLÔ TELA SOLAR CINZA CLARO. FATOR DE ABERTURA 1%.
COMPOSIÇÃO 25% POLIÉSTER E 75% PVC. ANTICHAMAS.</v>
      </c>
      <c r="C152" s="313" t="s">
        <v>121</v>
      </c>
      <c r="D152" s="314"/>
      <c r="E152" s="85">
        <f ca="1">IFERROR(IF($E$4="MÉDIA",AVERAGE(OFFSET(E152,1,0,):OFFSET(E156,-1,0,)),IF($E$4="MEDIANA",MEDIAN(OFFSET(E152,1,0,):OFFSET(E156,-1,0,)),0)),0)</f>
        <v>793.78</v>
      </c>
    </row>
    <row r="153" spans="1:6" ht="15.75" customHeight="1" x14ac:dyDescent="0.25">
      <c r="A153" s="86">
        <f ca="1">IFERROR(OFFSET(A153,-1,0)+1,1)</f>
        <v>1</v>
      </c>
      <c r="B153" s="75" t="s">
        <v>663</v>
      </c>
      <c r="C153" s="315" t="s">
        <v>121</v>
      </c>
      <c r="D153" s="89" t="s">
        <v>122</v>
      </c>
      <c r="E153" s="316">
        <v>793.78</v>
      </c>
      <c r="F153" s="157"/>
    </row>
    <row r="154" spans="1:6" ht="15.75" customHeight="1" x14ac:dyDescent="0.25">
      <c r="A154" s="86">
        <f ca="1">IFERROR(OFFSET(A154,-1,0)+1,1)</f>
        <v>2</v>
      </c>
      <c r="B154" s="156" t="s">
        <v>287</v>
      </c>
      <c r="C154" s="317" t="s">
        <v>121</v>
      </c>
      <c r="D154" s="155" t="s">
        <v>122</v>
      </c>
      <c r="E154" s="318">
        <v>996.65</v>
      </c>
    </row>
    <row r="155" spans="1:6" ht="15.75" customHeight="1" thickBot="1" x14ac:dyDescent="0.3">
      <c r="A155" s="86">
        <f ca="1">IFERROR(OFFSET(A155,-1,0)+1,1)</f>
        <v>3</v>
      </c>
      <c r="B155" s="156" t="s">
        <v>664</v>
      </c>
      <c r="C155" s="317" t="s">
        <v>121</v>
      </c>
      <c r="D155" s="155" t="s">
        <v>122</v>
      </c>
      <c r="E155" s="318">
        <v>530</v>
      </c>
      <c r="F155" s="157"/>
    </row>
    <row r="156" spans="1:6" ht="15.75" customHeight="1" thickBot="1" x14ac:dyDescent="0.3">
      <c r="A156" s="319"/>
      <c r="B156" s="320"/>
      <c r="C156" s="320"/>
      <c r="D156" s="320"/>
      <c r="E156" s="321"/>
    </row>
    <row r="157" spans="1:6" ht="15.75" customHeight="1" thickBot="1" x14ac:dyDescent="0.3">
      <c r="A157" s="322"/>
      <c r="B157" s="323"/>
      <c r="C157" s="323"/>
      <c r="D157" s="323"/>
      <c r="E157" s="324"/>
    </row>
    <row r="158" spans="1:6" ht="30.75" thickBot="1" x14ac:dyDescent="0.3">
      <c r="A158" s="311" t="s">
        <v>257</v>
      </c>
      <c r="B158" s="312" t="str">
        <f>'Orçamento '!$D$299</f>
        <v>M31: CORTINA ROLÔ TELA SOLAR CINZA CLARO. FATOR DE ABERTURA 1%.
COMPOSIÇÃO 25% POLIÉSTER E 75% PVC. ANTICHAMAS.</v>
      </c>
      <c r="C158" s="313" t="s">
        <v>121</v>
      </c>
      <c r="D158" s="314"/>
      <c r="E158" s="85">
        <f ca="1">IFERROR(IF($E$4="MÉDIA",AVERAGE(OFFSET(E158,1,0,):OFFSET(E162,-1,0,)),IF($E$4="MEDIANA",MEDIAN(OFFSET(E158,1,0,):OFFSET(E162,-1,0,)),0)),0)</f>
        <v>1270</v>
      </c>
    </row>
    <row r="159" spans="1:6" ht="15.75" customHeight="1" x14ac:dyDescent="0.25">
      <c r="A159" s="86">
        <f ca="1">IFERROR(OFFSET(A159,-1,0)+1,1)</f>
        <v>1</v>
      </c>
      <c r="B159" s="75" t="s">
        <v>663</v>
      </c>
      <c r="C159" s="315" t="s">
        <v>121</v>
      </c>
      <c r="D159" s="89" t="s">
        <v>122</v>
      </c>
      <c r="E159" s="316">
        <v>952.54</v>
      </c>
      <c r="F159" s="157"/>
    </row>
    <row r="160" spans="1:6" ht="15.75" customHeight="1" x14ac:dyDescent="0.25">
      <c r="A160" s="86">
        <f ca="1">IFERROR(OFFSET(A160,-1,0)+1,1)</f>
        <v>2</v>
      </c>
      <c r="B160" s="156" t="s">
        <v>287</v>
      </c>
      <c r="C160" s="317" t="s">
        <v>121</v>
      </c>
      <c r="D160" s="155" t="s">
        <v>122</v>
      </c>
      <c r="E160" s="318">
        <v>2402.4899999999998</v>
      </c>
    </row>
    <row r="161" spans="1:6" ht="15.75" customHeight="1" thickBot="1" x14ac:dyDescent="0.3">
      <c r="A161" s="86">
        <f ca="1">IFERROR(OFFSET(A161,-1,0)+1,1)</f>
        <v>3</v>
      </c>
      <c r="B161" s="156" t="s">
        <v>664</v>
      </c>
      <c r="C161" s="317" t="s">
        <v>121</v>
      </c>
      <c r="D161" s="155" t="s">
        <v>122</v>
      </c>
      <c r="E161" s="318">
        <v>1270</v>
      </c>
      <c r="F161" s="157"/>
    </row>
    <row r="162" spans="1:6" ht="15.75" customHeight="1" thickBot="1" x14ac:dyDescent="0.3">
      <c r="A162" s="319"/>
      <c r="B162" s="320"/>
      <c r="C162" s="320"/>
      <c r="D162" s="320"/>
      <c r="E162" s="321"/>
    </row>
    <row r="163" spans="1:6" ht="15.75" customHeight="1" thickBot="1" x14ac:dyDescent="0.3">
      <c r="A163" s="322"/>
      <c r="B163" s="323"/>
      <c r="C163" s="323"/>
      <c r="D163" s="323"/>
      <c r="E163" s="324"/>
    </row>
    <row r="164" spans="1:6" ht="30.75" thickBot="1" x14ac:dyDescent="0.3">
      <c r="A164" s="311" t="s">
        <v>258</v>
      </c>
      <c r="B164" s="312" t="str">
        <f>'Orçamento '!$D$300</f>
        <v>M32: CORTINA ROLÔ TELA SOLAR CINZA CLARO. FATOR DE ABERTURA 1%.
COMPOSIÇÃO 25% POLIÉSTER E 75% PVC. ANTICHAMAS.</v>
      </c>
      <c r="C164" s="313" t="s">
        <v>121</v>
      </c>
      <c r="D164" s="314"/>
      <c r="E164" s="85">
        <f ca="1">IFERROR(IF($E$4="MÉDIA",AVERAGE(OFFSET(E164,1,0,):OFFSET(E168,-1,0,)),IF($E$4="MEDIANA",MEDIAN(OFFSET(E164,1,0,):OFFSET(E168,-1,0,)),0)),0)</f>
        <v>854.84</v>
      </c>
    </row>
    <row r="165" spans="1:6" x14ac:dyDescent="0.25">
      <c r="A165" s="86">
        <f ca="1">IFERROR(OFFSET(A165,-1,0)+1,1)</f>
        <v>1</v>
      </c>
      <c r="B165" s="75" t="s">
        <v>663</v>
      </c>
      <c r="C165" s="315" t="s">
        <v>121</v>
      </c>
      <c r="D165" s="89" t="s">
        <v>122</v>
      </c>
      <c r="E165" s="316">
        <v>854.84</v>
      </c>
      <c r="F165" s="157"/>
    </row>
    <row r="166" spans="1:6" x14ac:dyDescent="0.25">
      <c r="A166" s="86">
        <f ca="1">IFERROR(OFFSET(A166,-1,0)+1,1)</f>
        <v>2</v>
      </c>
      <c r="B166" s="156" t="s">
        <v>287</v>
      </c>
      <c r="C166" s="317" t="s">
        <v>121</v>
      </c>
      <c r="D166" s="155" t="s">
        <v>122</v>
      </c>
      <c r="E166" s="318">
        <v>1064.8499999999999</v>
      </c>
    </row>
    <row r="167" spans="1:6" ht="15.75" thickBot="1" x14ac:dyDescent="0.3">
      <c r="A167" s="86">
        <f ca="1">IFERROR(OFFSET(A167,-1,0)+1,1)</f>
        <v>3</v>
      </c>
      <c r="B167" s="156" t="s">
        <v>664</v>
      </c>
      <c r="C167" s="317" t="s">
        <v>121</v>
      </c>
      <c r="D167" s="155" t="s">
        <v>122</v>
      </c>
      <c r="E167" s="318">
        <v>570</v>
      </c>
      <c r="F167" s="157"/>
    </row>
    <row r="168" spans="1:6" ht="15.75" thickBot="1" x14ac:dyDescent="0.3">
      <c r="A168" s="319"/>
      <c r="B168" s="320"/>
      <c r="C168" s="320"/>
      <c r="D168" s="320"/>
      <c r="E168" s="321"/>
    </row>
    <row r="169" spans="1:6" ht="15.75" thickBot="1" x14ac:dyDescent="0.3">
      <c r="A169" s="322"/>
      <c r="B169" s="323"/>
      <c r="C169" s="323"/>
      <c r="D169" s="323"/>
      <c r="E169" s="324"/>
    </row>
    <row r="170" spans="1:6" ht="30.75" thickBot="1" x14ac:dyDescent="0.3">
      <c r="A170" s="311" t="s">
        <v>259</v>
      </c>
      <c r="B170" s="312" t="str">
        <f>'Orçamento '!$D$301</f>
        <v>M33: CORTINA ROLÔ TELA SOLAR CINZA CLARO. FATOR DE ABERTURA 1%.
COMPOSIÇÃO 25% POLIÉSTER E 75% PVC. ANTICHAMAS.</v>
      </c>
      <c r="C170" s="313" t="s">
        <v>121</v>
      </c>
      <c r="D170" s="314"/>
      <c r="E170" s="85">
        <f ca="1">IFERROR(IF($E$4="MÉDIA",AVERAGE(OFFSET(E170,1,0,):OFFSET(E174,-1,0,)),IF($E$4="MEDIANA",MEDIAN(OFFSET(E170,1,0,):OFFSET(E174,-1,0,)),0)),0)</f>
        <v>806</v>
      </c>
    </row>
    <row r="171" spans="1:6" x14ac:dyDescent="0.25">
      <c r="A171" s="86">
        <f ca="1">IFERROR(OFFSET(A171,-1,0)+1,1)</f>
        <v>1</v>
      </c>
      <c r="B171" s="75" t="s">
        <v>663</v>
      </c>
      <c r="C171" s="315" t="s">
        <v>121</v>
      </c>
      <c r="D171" s="89" t="s">
        <v>122</v>
      </c>
      <c r="E171" s="316">
        <v>806</v>
      </c>
      <c r="F171" s="157"/>
    </row>
    <row r="172" spans="1:6" x14ac:dyDescent="0.25">
      <c r="A172" s="86">
        <f ca="1">IFERROR(OFFSET(A172,-1,0)+1,1)</f>
        <v>2</v>
      </c>
      <c r="B172" s="156" t="s">
        <v>287</v>
      </c>
      <c r="C172" s="317" t="s">
        <v>121</v>
      </c>
      <c r="D172" s="155" t="s">
        <v>122</v>
      </c>
      <c r="E172" s="318">
        <v>1064.8499999999999</v>
      </c>
    </row>
    <row r="173" spans="1:6" ht="15.75" thickBot="1" x14ac:dyDescent="0.3">
      <c r="A173" s="86">
        <f ca="1">IFERROR(OFFSET(A173,-1,0)+1,1)</f>
        <v>3</v>
      </c>
      <c r="B173" s="156" t="s">
        <v>664</v>
      </c>
      <c r="C173" s="317" t="s">
        <v>121</v>
      </c>
      <c r="D173" s="155" t="s">
        <v>122</v>
      </c>
      <c r="E173" s="318">
        <v>540</v>
      </c>
      <c r="F173" s="157"/>
    </row>
    <row r="174" spans="1:6" ht="15.75" thickBot="1" x14ac:dyDescent="0.3">
      <c r="A174" s="319"/>
      <c r="B174" s="320"/>
      <c r="C174" s="320"/>
      <c r="D174" s="320"/>
      <c r="E174" s="321"/>
    </row>
    <row r="175" spans="1:6" ht="15.75" thickBot="1" x14ac:dyDescent="0.3">
      <c r="A175" s="322"/>
      <c r="B175" s="323"/>
      <c r="C175" s="323"/>
      <c r="D175" s="323"/>
      <c r="E175" s="324"/>
    </row>
    <row r="176" spans="1:6" s="157" customFormat="1" ht="30.75" thickBot="1" x14ac:dyDescent="0.3">
      <c r="A176" s="81" t="s">
        <v>260</v>
      </c>
      <c r="B176" s="82" t="str">
        <f>'Orçamento '!$D$302</f>
        <v>M34: CORTINA ROLÔ TELA SOLAR CINZA CLARO. FATOR DE ABERTURA 1%.
COMPOSIÇÃO 25% POLIÉSTER E 75% PVC. ANTICHAMAS.</v>
      </c>
      <c r="C176" s="83" t="s">
        <v>121</v>
      </c>
      <c r="D176" s="84"/>
      <c r="E176" s="85">
        <f ca="1">IFERROR(IF($E$4="MÉDIA",AVERAGE(OFFSET(E176,1,0,):OFFSET(E180,-1,0,)),IF($E$4="MEDIANA",MEDIAN(OFFSET(E176,1,0,):OFFSET(E180,-1,0,)),0)),0)</f>
        <v>960</v>
      </c>
    </row>
    <row r="177" spans="1:5" s="157" customFormat="1" x14ac:dyDescent="0.25">
      <c r="A177" s="86">
        <f ca="1">IFERROR(OFFSET(A177,-1,0)+1,1)</f>
        <v>1</v>
      </c>
      <c r="B177" s="75" t="s">
        <v>663</v>
      </c>
      <c r="C177" s="88" t="s">
        <v>121</v>
      </c>
      <c r="D177" s="89" t="s">
        <v>122</v>
      </c>
      <c r="E177" s="55">
        <v>714.4</v>
      </c>
    </row>
    <row r="178" spans="1:5" s="157" customFormat="1" x14ac:dyDescent="0.25">
      <c r="A178" s="86">
        <f ca="1">IFERROR(OFFSET(A178,-1,0)+1,1)</f>
        <v>2</v>
      </c>
      <c r="B178" s="156" t="s">
        <v>287</v>
      </c>
      <c r="C178" s="154" t="s">
        <v>121</v>
      </c>
      <c r="D178" s="155" t="s">
        <v>122</v>
      </c>
      <c r="E178" s="56">
        <v>1856.91</v>
      </c>
    </row>
    <row r="179" spans="1:5" s="157" customFormat="1" ht="15.75" thickBot="1" x14ac:dyDescent="0.3">
      <c r="A179" s="86">
        <f ca="1">IFERROR(OFFSET(A179,-1,0)+1,1)</f>
        <v>3</v>
      </c>
      <c r="B179" s="156" t="s">
        <v>664</v>
      </c>
      <c r="C179" s="154" t="s">
        <v>121</v>
      </c>
      <c r="D179" s="155" t="s">
        <v>122</v>
      </c>
      <c r="E179" s="56">
        <v>960</v>
      </c>
    </row>
    <row r="180" spans="1:5" s="157" customFormat="1" ht="15.75" thickBot="1" x14ac:dyDescent="0.3">
      <c r="A180" s="280" t="s">
        <v>123</v>
      </c>
      <c r="B180" s="281"/>
      <c r="C180" s="281"/>
      <c r="D180" s="281"/>
      <c r="E180" s="282"/>
    </row>
    <row r="181" spans="1:5" ht="15.75" thickBot="1" x14ac:dyDescent="0.3">
      <c r="A181" s="283"/>
      <c r="B181" s="284"/>
      <c r="C181" s="284"/>
      <c r="D181" s="284"/>
      <c r="E181" s="285"/>
    </row>
    <row r="182" spans="1:5" s="157" customFormat="1" ht="30.75" thickBot="1" x14ac:dyDescent="0.3">
      <c r="A182" s="81" t="s">
        <v>263</v>
      </c>
      <c r="B182" s="325" t="str">
        <f>'Orçamento '!$D$303</f>
        <v>M35: CORTINA ROLÔ TELA SOLAR CINZA CLARO. FATOR DE ABERTURA 1%.
COMPOSIÇÃO 25% POLIÉSTER E 75% PVC. ANTICHAMAS.</v>
      </c>
      <c r="C182" s="83" t="s">
        <v>121</v>
      </c>
      <c r="D182" s="84"/>
      <c r="E182" s="85">
        <f ca="1">IFERROR(IF($E$4="MÉDIA",AVERAGE(OFFSET(E182,1,0,):OFFSET(E186,-1,0,)),IF($E$4="MEDIANA",MEDIAN(OFFSET(E182,1,0,):OFFSET(E186,-1,0,)),0)),0)</f>
        <v>1000</v>
      </c>
    </row>
    <row r="183" spans="1:5" s="157" customFormat="1" x14ac:dyDescent="0.25">
      <c r="A183" s="86">
        <f ca="1">IFERROR(OFFSET(A183,-1,0)+1,1)</f>
        <v>1</v>
      </c>
      <c r="B183" s="75" t="s">
        <v>663</v>
      </c>
      <c r="C183" s="88"/>
      <c r="D183" s="89" t="s">
        <v>122</v>
      </c>
      <c r="E183" s="55">
        <v>744.95</v>
      </c>
    </row>
    <row r="184" spans="1:5" s="157" customFormat="1" x14ac:dyDescent="0.25">
      <c r="A184" s="86">
        <f ca="1">IFERROR(OFFSET(A184,-1,0)+1,1)</f>
        <v>2</v>
      </c>
      <c r="B184" s="156" t="s">
        <v>287</v>
      </c>
      <c r="C184" s="154"/>
      <c r="D184" s="155" t="s">
        <v>122</v>
      </c>
      <c r="E184" s="56">
        <v>1993.31</v>
      </c>
    </row>
    <row r="185" spans="1:5" s="157" customFormat="1" ht="15.75" thickBot="1" x14ac:dyDescent="0.3">
      <c r="A185" s="86">
        <f ca="1">IFERROR(OFFSET(A185,-1,0)+1,1)</f>
        <v>3</v>
      </c>
      <c r="B185" s="156" t="s">
        <v>664</v>
      </c>
      <c r="C185" s="154"/>
      <c r="D185" s="155" t="s">
        <v>122</v>
      </c>
      <c r="E185" s="56">
        <v>1000</v>
      </c>
    </row>
    <row r="186" spans="1:5" s="157" customFormat="1" ht="15.75" thickBot="1" x14ac:dyDescent="0.3">
      <c r="A186" s="280" t="s">
        <v>123</v>
      </c>
      <c r="B186" s="281"/>
      <c r="C186" s="281"/>
      <c r="D186" s="281"/>
      <c r="E186" s="282"/>
    </row>
    <row r="187" spans="1:5" ht="15.75" thickBot="1" x14ac:dyDescent="0.3">
      <c r="A187" s="283"/>
      <c r="B187" s="284"/>
      <c r="C187" s="284"/>
      <c r="D187" s="284"/>
      <c r="E187" s="285"/>
    </row>
    <row r="188" spans="1:5" s="157" customFormat="1" ht="30.75" thickBot="1" x14ac:dyDescent="0.3">
      <c r="A188" s="81" t="s">
        <v>264</v>
      </c>
      <c r="B188" s="325" t="str">
        <f>'Orçamento '!$D$304</f>
        <v>M36: CORTINA ROLÔ TELA SOLAR CINZA CLARO. FATOR DE ABERTURA 1%.
COMPOSIÇÃO 25% POLIÉSTER E 75% PVC. ANTICHAMAS.</v>
      </c>
      <c r="C188" s="83" t="s">
        <v>121</v>
      </c>
      <c r="D188" s="84"/>
      <c r="E188" s="85">
        <f ca="1">IFERROR(IF($E$4="MÉDIA",AVERAGE(OFFSET(E188,1,0,):OFFSET(E192,-1,0,)),IF($E$4="MEDIANA",MEDIAN(OFFSET(E188,1,0,):OFFSET(E192,-1,0,)),0)),0)</f>
        <v>1040</v>
      </c>
    </row>
    <row r="189" spans="1:5" s="157" customFormat="1" x14ac:dyDescent="0.25">
      <c r="A189" s="86">
        <f ca="1">IFERROR(OFFSET(A189,-1,0)+1,1)</f>
        <v>1</v>
      </c>
      <c r="B189" s="75" t="s">
        <v>663</v>
      </c>
      <c r="C189" s="88"/>
      <c r="D189" s="89" t="s">
        <v>122</v>
      </c>
      <c r="E189" s="55">
        <v>781.57</v>
      </c>
    </row>
    <row r="190" spans="1:5" s="157" customFormat="1" x14ac:dyDescent="0.25">
      <c r="A190" s="86">
        <f ca="1">IFERROR(OFFSET(A190,-1,0)+1,1)</f>
        <v>2</v>
      </c>
      <c r="B190" s="156" t="s">
        <v>287</v>
      </c>
      <c r="C190" s="154"/>
      <c r="D190" s="155" t="s">
        <v>122</v>
      </c>
      <c r="E190" s="56">
        <v>1993.31</v>
      </c>
    </row>
    <row r="191" spans="1:5" s="157" customFormat="1" ht="15.75" thickBot="1" x14ac:dyDescent="0.3">
      <c r="A191" s="86">
        <f ca="1">IFERROR(OFFSET(A191,-1,0)+1,1)</f>
        <v>3</v>
      </c>
      <c r="B191" s="156" t="s">
        <v>664</v>
      </c>
      <c r="C191" s="154"/>
      <c r="D191" s="155" t="s">
        <v>122</v>
      </c>
      <c r="E191" s="56">
        <v>1040</v>
      </c>
    </row>
    <row r="192" spans="1:5" s="157" customFormat="1" ht="15.75" thickBot="1" x14ac:dyDescent="0.3">
      <c r="A192" s="280" t="s">
        <v>123</v>
      </c>
      <c r="B192" s="281"/>
      <c r="C192" s="281"/>
      <c r="D192" s="281"/>
      <c r="E192" s="282"/>
    </row>
    <row r="193" spans="1:5" ht="15.75" thickBot="1" x14ac:dyDescent="0.3">
      <c r="A193" s="283"/>
      <c r="B193" s="284"/>
      <c r="C193" s="284"/>
      <c r="D193" s="284"/>
      <c r="E193" s="285"/>
    </row>
    <row r="194" spans="1:5" s="157" customFormat="1" ht="30.75" thickBot="1" x14ac:dyDescent="0.3">
      <c r="A194" s="81" t="s">
        <v>265</v>
      </c>
      <c r="B194" s="82" t="str">
        <f>'Orçamento '!$D$305</f>
        <v>M37: CORTINA ROLÔ TELA SOLAR CINZA CLARO. FATOR DE ABERTURA 1%.
COMPOSIÇÃO 25% POLIÉSTER E 75% PVC. ANTICHAMAS.</v>
      </c>
      <c r="C194" s="83" t="s">
        <v>121</v>
      </c>
      <c r="D194" s="84"/>
      <c r="E194" s="85">
        <f ca="1">IFERROR(IF($E$4="MÉDIA",AVERAGE(OFFSET(E194,1,0,):OFFSET(E198,-1,0,)),IF($E$4="MEDIANA",MEDIAN(OFFSET(E194,1,0,):OFFSET(E198,-1,0,)),0)),0)</f>
        <v>1120</v>
      </c>
    </row>
    <row r="195" spans="1:5" s="157" customFormat="1" x14ac:dyDescent="0.25">
      <c r="A195" s="86">
        <f ca="1">IFERROR(OFFSET(A195,-1,0)+1,1)</f>
        <v>1</v>
      </c>
      <c r="B195" s="75" t="s">
        <v>663</v>
      </c>
      <c r="C195" s="88"/>
      <c r="D195" s="89" t="s">
        <v>122</v>
      </c>
      <c r="E195" s="55">
        <v>836.52</v>
      </c>
    </row>
    <row r="196" spans="1:5" s="157" customFormat="1" x14ac:dyDescent="0.25">
      <c r="A196" s="86">
        <f ca="1">IFERROR(OFFSET(A196,-1,0)+1,1)</f>
        <v>2</v>
      </c>
      <c r="B196" s="156" t="s">
        <v>287</v>
      </c>
      <c r="C196" s="154"/>
      <c r="D196" s="155" t="s">
        <v>122</v>
      </c>
      <c r="E196" s="56">
        <v>2129.6999999999998</v>
      </c>
    </row>
    <row r="197" spans="1:5" s="157" customFormat="1" ht="15.75" thickBot="1" x14ac:dyDescent="0.3">
      <c r="A197" s="86">
        <f ca="1">IFERROR(OFFSET(A197,-1,0)+1,1)</f>
        <v>3</v>
      </c>
      <c r="B197" s="156" t="s">
        <v>664</v>
      </c>
      <c r="C197" s="154"/>
      <c r="D197" s="155" t="s">
        <v>122</v>
      </c>
      <c r="E197" s="56">
        <v>1120</v>
      </c>
    </row>
    <row r="198" spans="1:5" s="157" customFormat="1" ht="15.75" thickBot="1" x14ac:dyDescent="0.3">
      <c r="A198" s="280" t="s">
        <v>123</v>
      </c>
      <c r="B198" s="281"/>
      <c r="C198" s="281"/>
      <c r="D198" s="281"/>
      <c r="E198" s="282"/>
    </row>
    <row r="199" spans="1:5" ht="15.75" thickBot="1" x14ac:dyDescent="0.3">
      <c r="A199" s="283"/>
      <c r="B199" s="284"/>
      <c r="C199" s="284"/>
      <c r="D199" s="284"/>
      <c r="E199" s="285"/>
    </row>
    <row r="200" spans="1:5" s="157" customFormat="1" ht="16.5" thickBot="1" x14ac:dyDescent="0.3">
      <c r="A200" s="81" t="s">
        <v>266</v>
      </c>
      <c r="B200" s="82" t="s">
        <v>575</v>
      </c>
      <c r="C200" s="83" t="s">
        <v>121</v>
      </c>
      <c r="D200" s="84"/>
      <c r="E200" s="85">
        <f ca="1">IFERROR(IF($E$4="MÉDIA",AVERAGE(OFFSET(E200,1,0,):OFFSET(E204,-1,0,)),IF($E$4="MEDIANA",MEDIAN(OFFSET(E200,1,0,):OFFSET(E204,-1,0,)),0)),0)</f>
        <v>367</v>
      </c>
    </row>
    <row r="201" spans="1:5" s="157" customFormat="1" x14ac:dyDescent="0.25">
      <c r="A201" s="86">
        <f ca="1">IFERROR(OFFSET(A201,-1,0)+1,1)</f>
        <v>1</v>
      </c>
      <c r="B201" s="87" t="s">
        <v>570</v>
      </c>
      <c r="C201" s="88" t="s">
        <v>121</v>
      </c>
      <c r="D201" s="89" t="s">
        <v>122</v>
      </c>
      <c r="E201" s="55">
        <v>323</v>
      </c>
    </row>
    <row r="202" spans="1:5" s="157" customFormat="1" x14ac:dyDescent="0.25">
      <c r="A202" s="86">
        <f ca="1">IFERROR(OFFSET(A202,-1,0)+1,1)</f>
        <v>2</v>
      </c>
      <c r="B202" s="153" t="s">
        <v>578</v>
      </c>
      <c r="C202" s="154" t="s">
        <v>121</v>
      </c>
      <c r="D202" s="155" t="s">
        <v>122</v>
      </c>
      <c r="E202" s="56">
        <v>463.62</v>
      </c>
    </row>
    <row r="203" spans="1:5" s="157" customFormat="1" ht="15.75" thickBot="1" x14ac:dyDescent="0.3">
      <c r="A203" s="86">
        <f ca="1">IFERROR(OFFSET(A203,-1,0)+1,1)</f>
        <v>3</v>
      </c>
      <c r="B203" s="153" t="s">
        <v>572</v>
      </c>
      <c r="C203" s="154" t="s">
        <v>121</v>
      </c>
      <c r="D203" s="155" t="s">
        <v>122</v>
      </c>
      <c r="E203" s="56">
        <v>367</v>
      </c>
    </row>
    <row r="204" spans="1:5" s="157" customFormat="1" ht="15.75" thickBot="1" x14ac:dyDescent="0.3">
      <c r="A204" s="280" t="s">
        <v>123</v>
      </c>
      <c r="B204" s="281"/>
      <c r="C204" s="281"/>
      <c r="D204" s="281"/>
      <c r="E204" s="282"/>
    </row>
    <row r="205" spans="1:5" ht="15.75" thickBot="1" x14ac:dyDescent="0.3">
      <c r="A205" s="276"/>
      <c r="B205" s="277"/>
      <c r="C205" s="277"/>
      <c r="D205" s="277"/>
      <c r="E205" s="278"/>
    </row>
    <row r="206" spans="1:5" s="157" customFormat="1" ht="16.5" thickBot="1" x14ac:dyDescent="0.3">
      <c r="A206" s="81" t="s">
        <v>267</v>
      </c>
      <c r="B206" s="82" t="s">
        <v>582</v>
      </c>
      <c r="C206" s="83" t="s">
        <v>121</v>
      </c>
      <c r="D206" s="84"/>
      <c r="E206" s="85">
        <f ca="1">IFERROR(IF($E$4="MÉDIA",AVERAGE(OFFSET(E206,1,0,):OFFSET(E210,-1,0,)),IF($E$4="MEDIANA",MEDIAN(OFFSET(E206,1,0,):OFFSET(E210,-1,0,)),0)),0)</f>
        <v>427.9</v>
      </c>
    </row>
    <row r="207" spans="1:5" s="157" customFormat="1" x14ac:dyDescent="0.25">
      <c r="A207" s="86">
        <f ca="1">IFERROR(OFFSET(A207,-1,0)+1,1)</f>
        <v>1</v>
      </c>
      <c r="B207" s="87" t="s">
        <v>570</v>
      </c>
      <c r="C207" s="88" t="s">
        <v>121</v>
      </c>
      <c r="D207" s="89" t="s">
        <v>122</v>
      </c>
      <c r="E207" s="55">
        <v>403</v>
      </c>
    </row>
    <row r="208" spans="1:5" s="157" customFormat="1" x14ac:dyDescent="0.25">
      <c r="A208" s="86">
        <f ca="1">IFERROR(OFFSET(A208,-1,0)+1,1)</f>
        <v>2</v>
      </c>
      <c r="B208" s="153" t="s">
        <v>571</v>
      </c>
      <c r="C208" s="154" t="s">
        <v>121</v>
      </c>
      <c r="D208" s="155" t="s">
        <v>122</v>
      </c>
      <c r="E208" s="56">
        <v>427.9</v>
      </c>
    </row>
    <row r="209" spans="1:5" s="157" customFormat="1" ht="15.75" thickBot="1" x14ac:dyDescent="0.3">
      <c r="A209" s="86">
        <f ca="1">IFERROR(OFFSET(A209,-1,0)+1,1)</f>
        <v>3</v>
      </c>
      <c r="B209" s="153" t="s">
        <v>572</v>
      </c>
      <c r="C209" s="154" t="s">
        <v>121</v>
      </c>
      <c r="D209" s="155" t="s">
        <v>122</v>
      </c>
      <c r="E209" s="56">
        <v>459</v>
      </c>
    </row>
    <row r="210" spans="1:5" s="157" customFormat="1" ht="15.75" thickBot="1" x14ac:dyDescent="0.3">
      <c r="A210" s="280" t="s">
        <v>123</v>
      </c>
      <c r="B210" s="281"/>
      <c r="C210" s="281"/>
      <c r="D210" s="281"/>
      <c r="E210" s="282"/>
    </row>
    <row r="211" spans="1:5" ht="15.75" thickBot="1" x14ac:dyDescent="0.3">
      <c r="A211" s="276"/>
      <c r="B211" s="277"/>
      <c r="C211" s="277"/>
      <c r="D211" s="277"/>
      <c r="E211" s="278"/>
    </row>
    <row r="212" spans="1:5" s="157" customFormat="1" ht="16.5" thickBot="1" x14ac:dyDescent="0.3">
      <c r="A212" s="81" t="s">
        <v>268</v>
      </c>
      <c r="B212" s="82" t="s">
        <v>576</v>
      </c>
      <c r="C212" s="83" t="s">
        <v>121</v>
      </c>
      <c r="D212" s="84"/>
      <c r="E212" s="85">
        <f ca="1">IFERROR(IF($E$4="MÉDIA",AVERAGE(OFFSET(E212,1,0,):OFFSET(E216,-1,0,)),IF($E$4="MEDIANA",MEDIAN(OFFSET(E212,1,0,):OFFSET(E216,-1,0,)),0)),0)</f>
        <v>782</v>
      </c>
    </row>
    <row r="213" spans="1:5" s="157" customFormat="1" x14ac:dyDescent="0.25">
      <c r="A213" s="86">
        <f ca="1">IFERROR(OFFSET(A213,-1,0)+1,1)</f>
        <v>1</v>
      </c>
      <c r="B213" s="87" t="s">
        <v>570</v>
      </c>
      <c r="C213" s="88" t="s">
        <v>121</v>
      </c>
      <c r="D213" s="89" t="s">
        <v>122</v>
      </c>
      <c r="E213" s="55">
        <v>685</v>
      </c>
    </row>
    <row r="214" spans="1:5" s="157" customFormat="1" x14ac:dyDescent="0.25">
      <c r="A214" s="86">
        <f ca="1">IFERROR(OFFSET(A214,-1,0)+1,1)</f>
        <v>2</v>
      </c>
      <c r="B214" s="153" t="s">
        <v>579</v>
      </c>
      <c r="C214" s="154" t="s">
        <v>121</v>
      </c>
      <c r="D214" s="155" t="s">
        <v>122</v>
      </c>
      <c r="E214" s="56">
        <v>929</v>
      </c>
    </row>
    <row r="215" spans="1:5" s="157" customFormat="1" ht="15.75" thickBot="1" x14ac:dyDescent="0.3">
      <c r="A215" s="86">
        <f ca="1">IFERROR(OFFSET(A215,-1,0)+1,1)</f>
        <v>3</v>
      </c>
      <c r="B215" s="153" t="s">
        <v>572</v>
      </c>
      <c r="C215" s="154" t="s">
        <v>121</v>
      </c>
      <c r="D215" s="155" t="s">
        <v>122</v>
      </c>
      <c r="E215" s="56">
        <v>782</v>
      </c>
    </row>
    <row r="216" spans="1:5" s="157" customFormat="1" ht="15.75" thickBot="1" x14ac:dyDescent="0.3">
      <c r="A216" s="280" t="s">
        <v>123</v>
      </c>
      <c r="B216" s="281"/>
      <c r="C216" s="281"/>
      <c r="D216" s="281"/>
      <c r="E216" s="282"/>
    </row>
    <row r="217" spans="1:5" ht="15.75" thickBot="1" x14ac:dyDescent="0.3">
      <c r="A217" s="276"/>
      <c r="B217" s="277"/>
      <c r="C217" s="277"/>
      <c r="D217" s="277"/>
      <c r="E217" s="278"/>
    </row>
    <row r="218" spans="1:5" s="157" customFormat="1" ht="16.5" thickBot="1" x14ac:dyDescent="0.3">
      <c r="A218" s="81" t="s">
        <v>269</v>
      </c>
      <c r="B218" s="82" t="s">
        <v>577</v>
      </c>
      <c r="C218" s="83" t="s">
        <v>121</v>
      </c>
      <c r="D218" s="84"/>
      <c r="E218" s="85">
        <f ca="1">IFERROR(IF($E$4="MÉDIA",AVERAGE(OFFSET(E218,1,0,):OFFSET(E222,-1,0,)),IF($E$4="MEDIANA",MEDIAN(OFFSET(E218,1,0,):OFFSET(E222,-1,0,)),0)),0)</f>
        <v>446</v>
      </c>
    </row>
    <row r="219" spans="1:5" s="157" customFormat="1" x14ac:dyDescent="0.25">
      <c r="A219" s="86">
        <f ca="1">IFERROR(OFFSET(A219,-1,0)+1,1)</f>
        <v>1</v>
      </c>
      <c r="B219" s="87" t="s">
        <v>570</v>
      </c>
      <c r="C219" s="88" t="s">
        <v>121</v>
      </c>
      <c r="D219" s="89" t="s">
        <v>122</v>
      </c>
      <c r="E219" s="55">
        <v>446</v>
      </c>
    </row>
    <row r="220" spans="1:5" s="157" customFormat="1" x14ac:dyDescent="0.25">
      <c r="A220" s="86">
        <f ca="1">IFERROR(OFFSET(A220,-1,0)+1,1)</f>
        <v>2</v>
      </c>
      <c r="B220" s="153" t="s">
        <v>571</v>
      </c>
      <c r="C220" s="154" t="s">
        <v>121</v>
      </c>
      <c r="D220" s="155" t="s">
        <v>122</v>
      </c>
      <c r="E220" s="56">
        <v>423.2</v>
      </c>
    </row>
    <row r="221" spans="1:5" s="157" customFormat="1" ht="15.75" thickBot="1" x14ac:dyDescent="0.3">
      <c r="A221" s="86">
        <f ca="1">IFERROR(OFFSET(A221,-1,0)+1,1)</f>
        <v>3</v>
      </c>
      <c r="B221" s="153" t="s">
        <v>572</v>
      </c>
      <c r="C221" s="154" t="s">
        <v>121</v>
      </c>
      <c r="D221" s="155" t="s">
        <v>122</v>
      </c>
      <c r="E221" s="56">
        <v>500</v>
      </c>
    </row>
    <row r="222" spans="1:5" s="157" customFormat="1" ht="15.75" thickBot="1" x14ac:dyDescent="0.3">
      <c r="A222" s="280" t="s">
        <v>123</v>
      </c>
      <c r="B222" s="281"/>
      <c r="C222" s="281"/>
      <c r="D222" s="281"/>
      <c r="E222" s="282"/>
    </row>
    <row r="223" spans="1:5" ht="15.75" thickBot="1" x14ac:dyDescent="0.3">
      <c r="A223" s="276"/>
      <c r="B223" s="277"/>
      <c r="C223" s="277"/>
      <c r="D223" s="277"/>
      <c r="E223" s="278"/>
    </row>
    <row r="224" spans="1:5" s="157" customFormat="1" ht="16.5" thickBot="1" x14ac:dyDescent="0.3">
      <c r="A224" s="81" t="s">
        <v>270</v>
      </c>
      <c r="B224" s="82" t="s">
        <v>580</v>
      </c>
      <c r="C224" s="83" t="s">
        <v>121</v>
      </c>
      <c r="D224" s="84"/>
      <c r="E224" s="85">
        <f ca="1">IFERROR(IF($E$4="MÉDIA",AVERAGE(OFFSET(E224,1,0,):OFFSET(E228,-1,0,)),IF($E$4="MEDIANA",MEDIAN(OFFSET(E224,1,0,):OFFSET(E228,-1,0,)),0)),0)</f>
        <v>446</v>
      </c>
    </row>
    <row r="225" spans="1:5" s="157" customFormat="1" x14ac:dyDescent="0.25">
      <c r="A225" s="86">
        <f ca="1">IFERROR(OFFSET(A225,-1,0)+1,1)</f>
        <v>1</v>
      </c>
      <c r="B225" s="87" t="s">
        <v>570</v>
      </c>
      <c r="C225" s="88" t="s">
        <v>121</v>
      </c>
      <c r="D225" s="89" t="s">
        <v>122</v>
      </c>
      <c r="E225" s="55">
        <v>446</v>
      </c>
    </row>
    <row r="226" spans="1:5" s="157" customFormat="1" x14ac:dyDescent="0.25">
      <c r="A226" s="86">
        <f ca="1">IFERROR(OFFSET(A226,-1,0)+1,1)</f>
        <v>2</v>
      </c>
      <c r="B226" s="153" t="s">
        <v>571</v>
      </c>
      <c r="C226" s="154" t="s">
        <v>121</v>
      </c>
      <c r="D226" s="155" t="s">
        <v>122</v>
      </c>
      <c r="E226" s="56">
        <v>423.25</v>
      </c>
    </row>
    <row r="227" spans="1:5" s="157" customFormat="1" ht="15.75" thickBot="1" x14ac:dyDescent="0.3">
      <c r="A227" s="86">
        <f ca="1">IFERROR(OFFSET(A227,-1,0)+1,1)</f>
        <v>3</v>
      </c>
      <c r="B227" s="153" t="s">
        <v>572</v>
      </c>
      <c r="C227" s="154" t="s">
        <v>121</v>
      </c>
      <c r="D227" s="155" t="s">
        <v>122</v>
      </c>
      <c r="E227" s="56">
        <v>505</v>
      </c>
    </row>
    <row r="228" spans="1:5" s="157" customFormat="1" ht="15.75" thickBot="1" x14ac:dyDescent="0.3">
      <c r="A228" s="280" t="s">
        <v>123</v>
      </c>
      <c r="B228" s="281"/>
      <c r="C228" s="281"/>
      <c r="D228" s="281"/>
      <c r="E228" s="282"/>
    </row>
    <row r="229" spans="1:5" ht="15.75" thickBot="1" x14ac:dyDescent="0.3">
      <c r="A229" s="276"/>
      <c r="B229" s="277"/>
      <c r="C229" s="277"/>
      <c r="D229" s="277"/>
      <c r="E229" s="278"/>
    </row>
    <row r="230" spans="1:5" s="157" customFormat="1" ht="16.5" thickBot="1" x14ac:dyDescent="0.3">
      <c r="A230" s="81" t="s">
        <v>271</v>
      </c>
      <c r="B230" s="325" t="s">
        <v>584</v>
      </c>
      <c r="C230" s="83" t="s">
        <v>121</v>
      </c>
      <c r="D230" s="84"/>
      <c r="E230" s="85">
        <f ca="1">IFERROR(IF($E$4="MÉDIA",AVERAGE(OFFSET(E230,1,0,):OFFSET(E234,-1,0,)),IF($E$4="MEDIANA",MEDIAN(OFFSET(E230,1,0,):OFFSET(E234,-1,0,)),0)),0)</f>
        <v>81.84</v>
      </c>
    </row>
    <row r="231" spans="1:5" s="157" customFormat="1" x14ac:dyDescent="0.25">
      <c r="A231" s="86">
        <f ca="1">IFERROR(OFFSET(A231,-1,0)+1,1)</f>
        <v>1</v>
      </c>
      <c r="B231" s="87" t="s">
        <v>589</v>
      </c>
      <c r="C231" s="88" t="s">
        <v>121</v>
      </c>
      <c r="D231" s="89" t="s">
        <v>122</v>
      </c>
      <c r="E231" s="55">
        <v>171.44</v>
      </c>
    </row>
    <row r="232" spans="1:5" s="157" customFormat="1" x14ac:dyDescent="0.25">
      <c r="A232" s="86">
        <f ca="1">IFERROR(OFFSET(A232,-1,0)+1,1)</f>
        <v>2</v>
      </c>
      <c r="B232" s="153" t="s">
        <v>572</v>
      </c>
      <c r="C232" s="154" t="s">
        <v>121</v>
      </c>
      <c r="D232" s="155" t="s">
        <v>122</v>
      </c>
      <c r="E232" s="56">
        <v>81.84</v>
      </c>
    </row>
    <row r="233" spans="1:5" s="157" customFormat="1" ht="15.75" thickBot="1" x14ac:dyDescent="0.3">
      <c r="A233" s="86">
        <f ca="1">IFERROR(OFFSET(A233,-1,0)+1,1)</f>
        <v>3</v>
      </c>
      <c r="B233" s="153" t="s">
        <v>583</v>
      </c>
      <c r="C233" s="154" t="s">
        <v>121</v>
      </c>
      <c r="D233" s="155" t="s">
        <v>122</v>
      </c>
      <c r="E233" s="56">
        <v>55.7</v>
      </c>
    </row>
    <row r="234" spans="1:5" s="157" customFormat="1" ht="15.75" thickBot="1" x14ac:dyDescent="0.3">
      <c r="A234" s="280" t="s">
        <v>123</v>
      </c>
      <c r="B234" s="281"/>
      <c r="C234" s="281"/>
      <c r="D234" s="281"/>
      <c r="E234" s="282"/>
    </row>
    <row r="235" spans="1:5" ht="15.75" thickBot="1" x14ac:dyDescent="0.3">
      <c r="A235" s="283"/>
      <c r="B235" s="284"/>
      <c r="C235" s="284"/>
      <c r="D235" s="284"/>
      <c r="E235" s="285"/>
    </row>
    <row r="236" spans="1:5" s="157" customFormat="1" ht="16.5" thickBot="1" x14ac:dyDescent="0.3">
      <c r="A236" s="81" t="s">
        <v>272</v>
      </c>
      <c r="B236" s="82" t="s">
        <v>585</v>
      </c>
      <c r="C236" s="83" t="s">
        <v>121</v>
      </c>
      <c r="D236" s="84"/>
      <c r="E236" s="85">
        <f ca="1">IFERROR(IF($E$4="MÉDIA",AVERAGE(OFFSET(E236,1,0,):OFFSET(E240,-1,0,)),IF($E$4="MEDIANA",MEDIAN(OFFSET(E236,1,0,):OFFSET(E240,-1,0,)),0)),0)</f>
        <v>29.95</v>
      </c>
    </row>
    <row r="237" spans="1:5" s="157" customFormat="1" x14ac:dyDescent="0.25">
      <c r="A237" s="86">
        <f ca="1">IFERROR(OFFSET(A237,-1,0)+1,1)</f>
        <v>1</v>
      </c>
      <c r="B237" s="87" t="s">
        <v>572</v>
      </c>
      <c r="C237" s="88" t="s">
        <v>121</v>
      </c>
      <c r="D237" s="89" t="s">
        <v>122</v>
      </c>
      <c r="E237" s="55">
        <v>29.95</v>
      </c>
    </row>
    <row r="238" spans="1:5" s="157" customFormat="1" x14ac:dyDescent="0.25">
      <c r="A238" s="86">
        <f ca="1">IFERROR(OFFSET(A238,-1,0)+1,1)</f>
        <v>2</v>
      </c>
      <c r="B238" s="153" t="s">
        <v>573</v>
      </c>
      <c r="C238" s="154" t="s">
        <v>121</v>
      </c>
      <c r="D238" s="155" t="s">
        <v>122</v>
      </c>
      <c r="E238" s="56">
        <v>37.43</v>
      </c>
    </row>
    <row r="239" spans="1:5" s="157" customFormat="1" ht="15.75" thickBot="1" x14ac:dyDescent="0.3">
      <c r="A239" s="86">
        <f ca="1">IFERROR(OFFSET(A239,-1,0)+1,1)</f>
        <v>3</v>
      </c>
      <c r="B239" s="153" t="s">
        <v>570</v>
      </c>
      <c r="C239" s="154" t="s">
        <v>121</v>
      </c>
      <c r="D239" s="155" t="s">
        <v>122</v>
      </c>
      <c r="E239" s="56">
        <v>21.9</v>
      </c>
    </row>
    <row r="240" spans="1:5" s="157" customFormat="1" ht="15.75" thickBot="1" x14ac:dyDescent="0.3">
      <c r="A240" s="280" t="s">
        <v>123</v>
      </c>
      <c r="B240" s="281"/>
      <c r="C240" s="281"/>
      <c r="D240" s="281"/>
      <c r="E240" s="282"/>
    </row>
    <row r="241" spans="1:5" ht="15.75" thickBot="1" x14ac:dyDescent="0.3">
      <c r="A241" s="283"/>
      <c r="B241" s="284"/>
      <c r="C241" s="284"/>
      <c r="D241" s="284"/>
      <c r="E241" s="285"/>
    </row>
    <row r="242" spans="1:5" s="157" customFormat="1" ht="16.5" thickBot="1" x14ac:dyDescent="0.3">
      <c r="A242" s="81" t="s">
        <v>273</v>
      </c>
      <c r="B242" s="82" t="s">
        <v>586</v>
      </c>
      <c r="C242" s="83" t="s">
        <v>121</v>
      </c>
      <c r="D242" s="84"/>
      <c r="E242" s="85">
        <f ca="1">IFERROR(IF($E$4="MÉDIA",AVERAGE(OFFSET(E242,1,0,):OFFSET(E246,-1,0,)),IF($E$4="MEDIANA",MEDIAN(OFFSET(E242,1,0,):OFFSET(E246,-1,0,)),0)),0)</f>
        <v>29.95</v>
      </c>
    </row>
    <row r="243" spans="1:5" s="157" customFormat="1" x14ac:dyDescent="0.25">
      <c r="A243" s="86">
        <f ca="1">IFERROR(OFFSET(A243,-1,0)+1,1)</f>
        <v>1</v>
      </c>
      <c r="B243" s="87" t="s">
        <v>572</v>
      </c>
      <c r="C243" s="88" t="s">
        <v>121</v>
      </c>
      <c r="D243" s="89" t="s">
        <v>122</v>
      </c>
      <c r="E243" s="55">
        <v>29.95</v>
      </c>
    </row>
    <row r="244" spans="1:5" s="157" customFormat="1" x14ac:dyDescent="0.25">
      <c r="A244" s="86">
        <f ca="1">IFERROR(OFFSET(A244,-1,0)+1,1)</f>
        <v>2</v>
      </c>
      <c r="B244" s="153" t="s">
        <v>573</v>
      </c>
      <c r="C244" s="154" t="s">
        <v>121</v>
      </c>
      <c r="D244" s="155" t="s">
        <v>122</v>
      </c>
      <c r="E244" s="56">
        <v>43.95</v>
      </c>
    </row>
    <row r="245" spans="1:5" s="157" customFormat="1" ht="15.75" thickBot="1" x14ac:dyDescent="0.3">
      <c r="A245" s="86">
        <f ca="1">IFERROR(OFFSET(A245,-1,0)+1,1)</f>
        <v>3</v>
      </c>
      <c r="B245" s="153" t="s">
        <v>570</v>
      </c>
      <c r="C245" s="154" t="s">
        <v>121</v>
      </c>
      <c r="D245" s="155" t="s">
        <v>122</v>
      </c>
      <c r="E245" s="56">
        <v>24</v>
      </c>
    </row>
    <row r="246" spans="1:5" s="157" customFormat="1" ht="15.75" thickBot="1" x14ac:dyDescent="0.3">
      <c r="A246" s="280" t="s">
        <v>123</v>
      </c>
      <c r="B246" s="281"/>
      <c r="C246" s="281"/>
      <c r="D246" s="281"/>
      <c r="E246" s="282"/>
    </row>
    <row r="247" spans="1:5" ht="15.75" thickBot="1" x14ac:dyDescent="0.3">
      <c r="A247" s="283"/>
      <c r="B247" s="284"/>
      <c r="C247" s="284"/>
      <c r="D247" s="284"/>
      <c r="E247" s="285"/>
    </row>
    <row r="248" spans="1:5" s="157" customFormat="1" ht="16.5" thickBot="1" x14ac:dyDescent="0.3">
      <c r="A248" s="81" t="s">
        <v>274</v>
      </c>
      <c r="B248" s="82" t="s">
        <v>592</v>
      </c>
      <c r="C248" s="83" t="s">
        <v>121</v>
      </c>
      <c r="D248" s="84"/>
      <c r="E248" s="85">
        <f ca="1">IFERROR(IF($E$4="MÉDIA",AVERAGE(OFFSET(E248,1,0,):OFFSET(E252,-1,0,)),IF($E$4="MEDIANA",MEDIAN(OFFSET(E248,1,0,):OFFSET(E252,-1,0,)),0)),0)</f>
        <v>243.9</v>
      </c>
    </row>
    <row r="249" spans="1:5" s="157" customFormat="1" x14ac:dyDescent="0.25">
      <c r="A249" s="86">
        <f ca="1">IFERROR(OFFSET(A249,-1,0)+1,1)</f>
        <v>1</v>
      </c>
      <c r="B249" s="87" t="s">
        <v>593</v>
      </c>
      <c r="C249" s="88" t="s">
        <v>121</v>
      </c>
      <c r="D249" s="89" t="s">
        <v>122</v>
      </c>
      <c r="E249" s="55">
        <v>243.9</v>
      </c>
    </row>
    <row r="250" spans="1:5" s="157" customFormat="1" x14ac:dyDescent="0.25">
      <c r="A250" s="86">
        <f ca="1">IFERROR(OFFSET(A250,-1,0)+1,1)</f>
        <v>2</v>
      </c>
      <c r="B250" s="153" t="s">
        <v>574</v>
      </c>
      <c r="C250" s="154" t="s">
        <v>121</v>
      </c>
      <c r="D250" s="155" t="s">
        <v>122</v>
      </c>
      <c r="E250" s="56">
        <v>299</v>
      </c>
    </row>
    <row r="251" spans="1:5" s="157" customFormat="1" ht="15.75" thickBot="1" x14ac:dyDescent="0.3">
      <c r="A251" s="86">
        <f ca="1">IFERROR(OFFSET(A251,-1,0)+1,1)</f>
        <v>3</v>
      </c>
      <c r="B251" s="153" t="s">
        <v>594</v>
      </c>
      <c r="C251" s="154" t="s">
        <v>121</v>
      </c>
      <c r="D251" s="155" t="s">
        <v>122</v>
      </c>
      <c r="E251" s="56">
        <v>243.9</v>
      </c>
    </row>
    <row r="252" spans="1:5" s="157" customFormat="1" ht="15.75" thickBot="1" x14ac:dyDescent="0.3">
      <c r="A252" s="280" t="s">
        <v>123</v>
      </c>
      <c r="B252" s="281"/>
      <c r="C252" s="281"/>
      <c r="D252" s="281"/>
      <c r="E252" s="282"/>
    </row>
    <row r="253" spans="1:5" ht="15.75" thickBot="1" x14ac:dyDescent="0.3">
      <c r="A253" s="283"/>
      <c r="B253" s="277"/>
      <c r="C253" s="277"/>
      <c r="D253" s="277"/>
      <c r="E253" s="278"/>
    </row>
    <row r="254" spans="1:5" s="157" customFormat="1" ht="30.75" thickBot="1" x14ac:dyDescent="0.3">
      <c r="A254" s="81" t="s">
        <v>275</v>
      </c>
      <c r="B254" s="82" t="s">
        <v>597</v>
      </c>
      <c r="C254" s="83" t="s">
        <v>121</v>
      </c>
      <c r="D254" s="84"/>
      <c r="E254" s="85">
        <f ca="1">IFERROR(IF($E$4="MÉDIA",AVERAGE(OFFSET(E254,1,0,):OFFSET(E258,-1,0,)),IF($E$4="MEDIANA",MEDIAN(OFFSET(E254,1,0,):OFFSET(E258,-1,0,)),0)),0)</f>
        <v>33533.4</v>
      </c>
    </row>
    <row r="255" spans="1:5" s="157" customFormat="1" x14ac:dyDescent="0.25">
      <c r="A255" s="86">
        <f ca="1">IFERROR(OFFSET(A255,-1,0)+1,1)</f>
        <v>1</v>
      </c>
      <c r="B255" s="87" t="s">
        <v>600</v>
      </c>
      <c r="C255" s="88" t="s">
        <v>121</v>
      </c>
      <c r="D255" s="89" t="s">
        <v>122</v>
      </c>
      <c r="E255" s="55">
        <f>13204+19185</f>
        <v>32389</v>
      </c>
    </row>
    <row r="256" spans="1:5" s="157" customFormat="1" x14ac:dyDescent="0.25">
      <c r="A256" s="86">
        <f ca="1">IFERROR(OFFSET(A256,-1,0)+1,1)</f>
        <v>2</v>
      </c>
      <c r="B256" s="153" t="s">
        <v>601</v>
      </c>
      <c r="C256" s="154" t="s">
        <v>121</v>
      </c>
      <c r="D256" s="155" t="s">
        <v>122</v>
      </c>
      <c r="E256" s="56">
        <v>33533.4</v>
      </c>
    </row>
    <row r="257" spans="1:5" s="157" customFormat="1" ht="15.75" thickBot="1" x14ac:dyDescent="0.3">
      <c r="A257" s="86">
        <f ca="1">IFERROR(OFFSET(A257,-1,0)+1,1)</f>
        <v>3</v>
      </c>
      <c r="B257" s="153" t="s">
        <v>1009</v>
      </c>
      <c r="C257" s="154" t="s">
        <v>121</v>
      </c>
      <c r="D257" s="155" t="s">
        <v>122</v>
      </c>
      <c r="E257" s="56">
        <v>34494</v>
      </c>
    </row>
    <row r="258" spans="1:5" s="157" customFormat="1" ht="15.75" thickBot="1" x14ac:dyDescent="0.3">
      <c r="A258" s="280" t="s">
        <v>123</v>
      </c>
      <c r="B258" s="281"/>
      <c r="C258" s="281"/>
      <c r="D258" s="281"/>
      <c r="E258" s="282"/>
    </row>
    <row r="259" spans="1:5" ht="15.75" thickBot="1" x14ac:dyDescent="0.3">
      <c r="A259" s="283"/>
      <c r="B259" s="277"/>
      <c r="C259" s="277"/>
      <c r="D259" s="277"/>
      <c r="E259" s="278"/>
    </row>
    <row r="260" spans="1:5" s="157" customFormat="1" ht="30.75" thickBot="1" x14ac:dyDescent="0.3">
      <c r="A260" s="81" t="s">
        <v>581</v>
      </c>
      <c r="B260" s="82" t="s">
        <v>598</v>
      </c>
      <c r="C260" s="83" t="s">
        <v>121</v>
      </c>
      <c r="D260" s="84"/>
      <c r="E260" s="85">
        <f ca="1">IFERROR(IF($E$4="MÉDIA",AVERAGE(OFFSET(E260,1,0,):OFFSET(E264,-1,0,)),IF($E$4="MEDIANA",MEDIAN(OFFSET(E260,1,0,):OFFSET(E264,-1,0,)),0)),0)</f>
        <v>16250.98</v>
      </c>
    </row>
    <row r="261" spans="1:5" s="157" customFormat="1" x14ac:dyDescent="0.25">
      <c r="A261" s="86">
        <f ca="1">IFERROR(OFFSET(A261,-1,0)+1,1)</f>
        <v>1</v>
      </c>
      <c r="B261" s="87" t="s">
        <v>600</v>
      </c>
      <c r="C261" s="88" t="s">
        <v>121</v>
      </c>
      <c r="D261" s="89" t="s">
        <v>122</v>
      </c>
      <c r="E261" s="55">
        <f>9226+3837+3913</f>
        <v>16976</v>
      </c>
    </row>
    <row r="262" spans="1:5" s="157" customFormat="1" x14ac:dyDescent="0.25">
      <c r="A262" s="86">
        <f ca="1">IFERROR(OFFSET(A262,-1,0)+1,1)</f>
        <v>2</v>
      </c>
      <c r="B262" s="153" t="s">
        <v>601</v>
      </c>
      <c r="C262" s="154" t="s">
        <v>121</v>
      </c>
      <c r="D262" s="155" t="s">
        <v>122</v>
      </c>
      <c r="E262" s="56">
        <v>16250.98</v>
      </c>
    </row>
    <row r="263" spans="1:5" s="157" customFormat="1" ht="15.75" thickBot="1" x14ac:dyDescent="0.3">
      <c r="A263" s="86">
        <f ca="1">IFERROR(OFFSET(A263,-1,0)+1,1)</f>
        <v>3</v>
      </c>
      <c r="B263" s="153" t="s">
        <v>1010</v>
      </c>
      <c r="C263" s="154" t="s">
        <v>121</v>
      </c>
      <c r="D263" s="155" t="s">
        <v>122</v>
      </c>
      <c r="E263" s="56">
        <v>13493.71</v>
      </c>
    </row>
    <row r="264" spans="1:5" s="157" customFormat="1" ht="15.75" thickBot="1" x14ac:dyDescent="0.3">
      <c r="A264" s="280" t="s">
        <v>123</v>
      </c>
      <c r="B264" s="281"/>
      <c r="C264" s="281"/>
      <c r="D264" s="281"/>
      <c r="E264" s="282"/>
    </row>
    <row r="265" spans="1:5" ht="15.75" thickBot="1" x14ac:dyDescent="0.3">
      <c r="A265" s="283"/>
      <c r="B265" s="277"/>
      <c r="C265" s="277"/>
      <c r="D265" s="277"/>
      <c r="E265" s="278"/>
    </row>
    <row r="266" spans="1:5" s="157" customFormat="1" ht="30.75" thickBot="1" x14ac:dyDescent="0.3">
      <c r="A266" s="81" t="s">
        <v>587</v>
      </c>
      <c r="B266" s="82" t="s">
        <v>599</v>
      </c>
      <c r="C266" s="83" t="s">
        <v>121</v>
      </c>
      <c r="D266" s="84"/>
      <c r="E266" s="85">
        <f ca="1">IFERROR(IF($E$4="MÉDIA",AVERAGE(OFFSET(E266,1,0,):OFFSET(E270,-1,0,)),IF($E$4="MEDIANA",MEDIAN(OFFSET(E266,1,0,):OFFSET(E270,-1,0,)),0)),0)</f>
        <v>12495</v>
      </c>
    </row>
    <row r="267" spans="1:5" s="157" customFormat="1" x14ac:dyDescent="0.25">
      <c r="A267" s="86">
        <f ca="1">IFERROR(OFFSET(A267,-1,0)+1,1)</f>
        <v>1</v>
      </c>
      <c r="B267" s="87" t="s">
        <v>600</v>
      </c>
      <c r="C267" s="88" t="s">
        <v>121</v>
      </c>
      <c r="D267" s="89" t="s">
        <v>122</v>
      </c>
      <c r="E267" s="55">
        <f>4106+3032</f>
        <v>7138</v>
      </c>
    </row>
    <row r="268" spans="1:5" s="157" customFormat="1" x14ac:dyDescent="0.25">
      <c r="A268" s="86">
        <f ca="1">IFERROR(OFFSET(A268,-1,0)+1,1)</f>
        <v>2</v>
      </c>
      <c r="B268" s="153" t="s">
        <v>601</v>
      </c>
      <c r="C268" s="154" t="s">
        <v>121</v>
      </c>
      <c r="D268" s="155" t="s">
        <v>122</v>
      </c>
      <c r="E268" s="56">
        <v>12735.24</v>
      </c>
    </row>
    <row r="269" spans="1:5" s="157" customFormat="1" ht="15.75" thickBot="1" x14ac:dyDescent="0.3">
      <c r="A269" s="86">
        <f ca="1">IFERROR(OFFSET(A269,-1,0)+1,1)</f>
        <v>3</v>
      </c>
      <c r="B269" s="153" t="s">
        <v>1009</v>
      </c>
      <c r="C269" s="154" t="s">
        <v>121</v>
      </c>
      <c r="D269" s="155" t="s">
        <v>122</v>
      </c>
      <c r="E269" s="56">
        <v>12495</v>
      </c>
    </row>
    <row r="270" spans="1:5" s="157" customFormat="1" ht="15.75" thickBot="1" x14ac:dyDescent="0.3">
      <c r="A270" s="280" t="s">
        <v>123</v>
      </c>
      <c r="B270" s="281"/>
      <c r="C270" s="281"/>
      <c r="D270" s="281"/>
      <c r="E270" s="282"/>
    </row>
    <row r="271" spans="1:5" ht="15.75" thickBot="1" x14ac:dyDescent="0.3">
      <c r="A271" s="283"/>
      <c r="B271" s="277"/>
      <c r="C271" s="277"/>
      <c r="D271" s="277"/>
      <c r="E271" s="278"/>
    </row>
    <row r="272" spans="1:5" s="157" customFormat="1" ht="16.5" thickBot="1" x14ac:dyDescent="0.3">
      <c r="A272" s="81" t="s">
        <v>588</v>
      </c>
      <c r="B272" s="82" t="s">
        <v>648</v>
      </c>
      <c r="C272" s="83" t="s">
        <v>121</v>
      </c>
      <c r="D272" s="84"/>
      <c r="E272" s="85">
        <f ca="1">IFERROR(IF($E$4="MÉDIA",AVERAGE(OFFSET(E272,1,0,):OFFSET(E276,-1,0,)),IF($E$4="MEDIANA",MEDIAN(OFFSET(E272,1,0,):OFFSET(E276,-1,0,)),0)),0)</f>
        <v>14.77</v>
      </c>
    </row>
    <row r="273" spans="1:5" s="157" customFormat="1" x14ac:dyDescent="0.25">
      <c r="A273" s="86">
        <f ca="1">IFERROR(OFFSET(A273,-1,0)+1,1)</f>
        <v>1</v>
      </c>
      <c r="B273" s="87" t="s">
        <v>647</v>
      </c>
      <c r="C273" s="88" t="s">
        <v>121</v>
      </c>
      <c r="D273" s="89" t="s">
        <v>122</v>
      </c>
      <c r="E273" s="55">
        <v>14.77</v>
      </c>
    </row>
    <row r="274" spans="1:5" s="157" customFormat="1" x14ac:dyDescent="0.25">
      <c r="A274" s="86">
        <f ca="1">IFERROR(OFFSET(A274,-1,0)+1,1)</f>
        <v>2</v>
      </c>
      <c r="B274" s="153" t="s">
        <v>642</v>
      </c>
      <c r="C274" s="154" t="s">
        <v>121</v>
      </c>
      <c r="D274" s="155" t="s">
        <v>122</v>
      </c>
      <c r="E274" s="56">
        <v>7.69</v>
      </c>
    </row>
    <row r="275" spans="1:5" s="157" customFormat="1" ht="15.75" thickBot="1" x14ac:dyDescent="0.3">
      <c r="A275" s="86">
        <f ca="1">IFERROR(OFFSET(A275,-1,0)+1,1)</f>
        <v>3</v>
      </c>
      <c r="B275" s="153" t="s">
        <v>646</v>
      </c>
      <c r="C275" s="154" t="s">
        <v>121</v>
      </c>
      <c r="D275" s="155" t="s">
        <v>122</v>
      </c>
      <c r="E275" s="56">
        <v>15.25</v>
      </c>
    </row>
    <row r="276" spans="1:5" s="157" customFormat="1" ht="15.75" thickBot="1" x14ac:dyDescent="0.3">
      <c r="A276" s="280" t="s">
        <v>123</v>
      </c>
      <c r="B276" s="281"/>
      <c r="C276" s="281"/>
      <c r="D276" s="281"/>
      <c r="E276" s="282"/>
    </row>
    <row r="277" spans="1:5" ht="15.75" thickBot="1" x14ac:dyDescent="0.3">
      <c r="A277" s="283"/>
      <c r="B277" s="284"/>
      <c r="C277" s="284"/>
      <c r="D277" s="284"/>
      <c r="E277" s="285"/>
    </row>
    <row r="278" spans="1:5" s="157" customFormat="1" ht="16.5" thickBot="1" x14ac:dyDescent="0.3">
      <c r="A278" s="81" t="s">
        <v>1019</v>
      </c>
      <c r="B278" s="82" t="s">
        <v>682</v>
      </c>
      <c r="C278" s="83" t="s">
        <v>121</v>
      </c>
      <c r="D278" s="84"/>
      <c r="E278" s="85">
        <f ca="1">IFERROR(IF($E$4="MÉDIA",AVERAGE(OFFSET(E278,1,0,):OFFSET(E282,-1,0,)),IF($E$4="MEDIANA",MEDIAN(OFFSET(E278,1,0,):OFFSET(E282,-1,0,)),0)),0)</f>
        <v>26.44</v>
      </c>
    </row>
    <row r="279" spans="1:5" s="157" customFormat="1" x14ac:dyDescent="0.25">
      <c r="A279" s="86">
        <f ca="1">IFERROR(OFFSET(A279,-1,0)+1,1)</f>
        <v>1</v>
      </c>
      <c r="B279" s="87" t="s">
        <v>1013</v>
      </c>
      <c r="C279" s="88" t="s">
        <v>121</v>
      </c>
      <c r="D279" s="89" t="s">
        <v>122</v>
      </c>
      <c r="E279" s="55">
        <v>26.09</v>
      </c>
    </row>
    <row r="280" spans="1:5" s="157" customFormat="1" x14ac:dyDescent="0.25">
      <c r="A280" s="86">
        <f ca="1">IFERROR(OFFSET(A280,-1,0)+1,1)</f>
        <v>2</v>
      </c>
      <c r="B280" s="153" t="s">
        <v>1012</v>
      </c>
      <c r="C280" s="154" t="s">
        <v>121</v>
      </c>
      <c r="D280" s="155" t="s">
        <v>122</v>
      </c>
      <c r="E280" s="56">
        <v>26.6</v>
      </c>
    </row>
    <row r="281" spans="1:5" s="157" customFormat="1" ht="15.75" thickBot="1" x14ac:dyDescent="0.3">
      <c r="A281" s="86">
        <f ca="1">IFERROR(OFFSET(A281,-1,0)+1,1)</f>
        <v>3</v>
      </c>
      <c r="B281" s="153" t="s">
        <v>1011</v>
      </c>
      <c r="C281" s="154" t="s">
        <v>121</v>
      </c>
      <c r="D281" s="155" t="s">
        <v>122</v>
      </c>
      <c r="E281" s="56">
        <v>26.44</v>
      </c>
    </row>
    <row r="282" spans="1:5" s="157" customFormat="1" ht="15.75" thickBot="1" x14ac:dyDescent="0.3">
      <c r="A282" s="280" t="s">
        <v>123</v>
      </c>
      <c r="B282" s="281"/>
      <c r="C282" s="281"/>
      <c r="D282" s="281"/>
      <c r="E282" s="282"/>
    </row>
    <row r="283" spans="1:5" ht="15.75" thickBot="1" x14ac:dyDescent="0.3">
      <c r="A283" s="283"/>
      <c r="B283" s="284"/>
      <c r="C283" s="284"/>
      <c r="D283" s="284"/>
      <c r="E283" s="285"/>
    </row>
    <row r="284" spans="1:5" s="157" customFormat="1" ht="16.5" thickBot="1" x14ac:dyDescent="0.3">
      <c r="A284" s="81" t="s">
        <v>590</v>
      </c>
      <c r="B284" s="82" t="s">
        <v>946</v>
      </c>
      <c r="C284" s="83" t="s">
        <v>121</v>
      </c>
      <c r="D284" s="84"/>
      <c r="E284" s="85">
        <f ca="1">IFERROR(IF($E$4="MÉDIA",AVERAGE(OFFSET(E284,1,0,):OFFSET(E288,-1,0,)),IF($E$4="MEDIANA",MEDIAN(OFFSET(E284,1,0,):OFFSET(E288,-1,0,)),0)),0)</f>
        <v>12.58</v>
      </c>
    </row>
    <row r="285" spans="1:5" s="157" customFormat="1" x14ac:dyDescent="0.25">
      <c r="A285" s="86">
        <f ca="1">IFERROR(OFFSET(A285,-1,0)+1,1)</f>
        <v>1</v>
      </c>
      <c r="B285" s="87" t="s">
        <v>645</v>
      </c>
      <c r="C285" s="88" t="s">
        <v>121</v>
      </c>
      <c r="D285" s="89" t="s">
        <v>122</v>
      </c>
      <c r="E285" s="55">
        <v>12.58</v>
      </c>
    </row>
    <row r="286" spans="1:5" s="157" customFormat="1" x14ac:dyDescent="0.25">
      <c r="A286" s="86">
        <f ca="1">IFERROR(OFFSET(A286,-1,0)+1,1)</f>
        <v>2</v>
      </c>
      <c r="B286" s="153" t="s">
        <v>947</v>
      </c>
      <c r="C286" s="154" t="s">
        <v>121</v>
      </c>
      <c r="D286" s="155" t="s">
        <v>122</v>
      </c>
      <c r="E286" s="56">
        <v>13.63</v>
      </c>
    </row>
    <row r="287" spans="1:5" s="157" customFormat="1" ht="15.75" thickBot="1" x14ac:dyDescent="0.3">
      <c r="A287" s="86">
        <f ca="1">IFERROR(OFFSET(A287,-1,0)+1,1)</f>
        <v>3</v>
      </c>
      <c r="B287" s="153" t="s">
        <v>948</v>
      </c>
      <c r="C287" s="154" t="s">
        <v>121</v>
      </c>
      <c r="D287" s="155" t="s">
        <v>122</v>
      </c>
      <c r="E287" s="56">
        <v>10.58</v>
      </c>
    </row>
    <row r="288" spans="1:5" s="157" customFormat="1" ht="15.75" thickBot="1" x14ac:dyDescent="0.3">
      <c r="A288" s="280" t="s">
        <v>123</v>
      </c>
      <c r="B288" s="281"/>
      <c r="C288" s="281"/>
      <c r="D288" s="281"/>
      <c r="E288" s="282"/>
    </row>
    <row r="289" spans="1:5" ht="15.75" thickBot="1" x14ac:dyDescent="0.3">
      <c r="A289" s="283"/>
      <c r="B289" s="284"/>
      <c r="C289" s="284"/>
      <c r="D289" s="284"/>
      <c r="E289" s="285"/>
    </row>
    <row r="290" spans="1:5" s="157" customFormat="1" ht="16.5" thickBot="1" x14ac:dyDescent="0.3">
      <c r="A290" s="81" t="s">
        <v>591</v>
      </c>
      <c r="B290" s="82" t="s">
        <v>685</v>
      </c>
      <c r="C290" s="83" t="s">
        <v>121</v>
      </c>
      <c r="D290" s="84"/>
      <c r="E290" s="85">
        <f ca="1">IFERROR(IF($E$4="MÉDIA",AVERAGE(OFFSET(E290,1,0,):OFFSET(E294,-1,0,)),IF($E$4="MEDIANA",MEDIAN(OFFSET(E290,1,0,):OFFSET(E294,-1,0,)),0)),0)</f>
        <v>5.8</v>
      </c>
    </row>
    <row r="291" spans="1:5" s="157" customFormat="1" x14ac:dyDescent="0.25">
      <c r="A291" s="86">
        <f ca="1">IFERROR(OFFSET(A291,-1,0)+1,1)</f>
        <v>1</v>
      </c>
      <c r="B291" s="87" t="s">
        <v>686</v>
      </c>
      <c r="C291" s="88" t="s">
        <v>121</v>
      </c>
      <c r="D291" s="89" t="s">
        <v>122</v>
      </c>
      <c r="E291" s="55">
        <v>5.8</v>
      </c>
    </row>
    <row r="292" spans="1:5" s="157" customFormat="1" x14ac:dyDescent="0.25">
      <c r="A292" s="86">
        <f ca="1">IFERROR(OFFSET(A292,-1,0)+1,1)</f>
        <v>2</v>
      </c>
      <c r="B292" s="153" t="s">
        <v>281</v>
      </c>
      <c r="C292" s="154" t="s">
        <v>121</v>
      </c>
      <c r="D292" s="155" t="s">
        <v>122</v>
      </c>
      <c r="E292" s="56">
        <v>5.8</v>
      </c>
    </row>
    <row r="293" spans="1:5" s="157" customFormat="1" ht="15.75" thickBot="1" x14ac:dyDescent="0.3">
      <c r="A293" s="86">
        <f ca="1">IFERROR(OFFSET(A293,-1,0)+1,1)</f>
        <v>3</v>
      </c>
      <c r="B293" s="153" t="s">
        <v>1014</v>
      </c>
      <c r="C293" s="154" t="s">
        <v>121</v>
      </c>
      <c r="D293" s="155" t="s">
        <v>122</v>
      </c>
      <c r="E293" s="56">
        <v>5.76</v>
      </c>
    </row>
    <row r="294" spans="1:5" s="157" customFormat="1" ht="15.75" thickBot="1" x14ac:dyDescent="0.3">
      <c r="A294" s="280" t="s">
        <v>123</v>
      </c>
      <c r="B294" s="281"/>
      <c r="C294" s="281"/>
      <c r="D294" s="281"/>
      <c r="E294" s="282"/>
    </row>
    <row r="295" spans="1:5" ht="15.75" thickBot="1" x14ac:dyDescent="0.3">
      <c r="A295" s="283"/>
      <c r="B295" s="284"/>
      <c r="C295" s="284"/>
      <c r="D295" s="284"/>
      <c r="E295" s="285"/>
    </row>
    <row r="296" spans="1:5" s="157" customFormat="1" ht="16.5" thickBot="1" x14ac:dyDescent="0.3">
      <c r="A296" s="81" t="s">
        <v>595</v>
      </c>
      <c r="B296" s="82" t="s">
        <v>457</v>
      </c>
      <c r="C296" s="83" t="s">
        <v>121</v>
      </c>
      <c r="D296" s="84"/>
      <c r="E296" s="85">
        <f ca="1">IFERROR(IF($E$4="MÉDIA",AVERAGE(OFFSET(E296,1,0,):OFFSET(E300,-1,0,)),IF($E$4="MEDIANA",MEDIAN(OFFSET(E296,1,0,):OFFSET(E300,-1,0,)),0)),0)</f>
        <v>5.99</v>
      </c>
    </row>
    <row r="297" spans="1:5" s="157" customFormat="1" x14ac:dyDescent="0.25">
      <c r="A297" s="86">
        <f ca="1">IFERROR(OFFSET(A297,-1,0)+1,1)</f>
        <v>1</v>
      </c>
      <c r="B297" s="87" t="s">
        <v>1015</v>
      </c>
      <c r="C297" s="88" t="s">
        <v>121</v>
      </c>
      <c r="D297" s="89" t="s">
        <v>122</v>
      </c>
      <c r="E297" s="55">
        <f>59.9/10</f>
        <v>5.99</v>
      </c>
    </row>
    <row r="298" spans="1:5" s="157" customFormat="1" x14ac:dyDescent="0.25">
      <c r="A298" s="86">
        <f ca="1">IFERROR(OFFSET(A298,-1,0)+1,1)</f>
        <v>2</v>
      </c>
      <c r="B298" s="153" t="s">
        <v>1016</v>
      </c>
      <c r="C298" s="154" t="s">
        <v>121</v>
      </c>
      <c r="D298" s="155" t="s">
        <v>122</v>
      </c>
      <c r="E298" s="56">
        <v>5.9</v>
      </c>
    </row>
    <row r="299" spans="1:5" s="157" customFormat="1" ht="15.75" thickBot="1" x14ac:dyDescent="0.3">
      <c r="A299" s="86">
        <f ca="1">IFERROR(OFFSET(A299,-1,0)+1,1)</f>
        <v>3</v>
      </c>
      <c r="B299" s="153" t="s">
        <v>418</v>
      </c>
      <c r="C299" s="154" t="s">
        <v>121</v>
      </c>
      <c r="D299" s="155" t="s">
        <v>122</v>
      </c>
      <c r="E299" s="56">
        <f>63.99/10</f>
        <v>6.399</v>
      </c>
    </row>
    <row r="300" spans="1:5" s="157" customFormat="1" ht="15.75" thickBot="1" x14ac:dyDescent="0.3">
      <c r="A300" s="280" t="s">
        <v>123</v>
      </c>
      <c r="B300" s="281"/>
      <c r="C300" s="281"/>
      <c r="D300" s="281"/>
      <c r="E300" s="282"/>
    </row>
    <row r="301" spans="1:5" ht="15.75" thickBot="1" x14ac:dyDescent="0.3">
      <c r="A301" s="283"/>
      <c r="B301" s="284"/>
      <c r="C301" s="284"/>
      <c r="D301" s="284"/>
      <c r="E301" s="285"/>
    </row>
    <row r="302" spans="1:5" s="157" customFormat="1" ht="16.5" thickBot="1" x14ac:dyDescent="0.3">
      <c r="A302" s="81" t="s">
        <v>1020</v>
      </c>
      <c r="B302" s="82" t="s">
        <v>751</v>
      </c>
      <c r="C302" s="83" t="s">
        <v>121</v>
      </c>
      <c r="D302" s="84"/>
      <c r="E302" s="85">
        <f ca="1">IFERROR(IF($E$4="MÉDIA",AVERAGE(OFFSET(E302,1,0,):OFFSET(E306,-1,0,)),IF($E$4="MEDIANA",MEDIAN(OFFSET(E302,1,0,):OFFSET(E306,-1,0,)),0)),0)</f>
        <v>1.4</v>
      </c>
    </row>
    <row r="303" spans="1:5" s="157" customFormat="1" x14ac:dyDescent="0.25">
      <c r="A303" s="86">
        <f ca="1">IFERROR(OFFSET(A303,-1,0)+1,1)</f>
        <v>1</v>
      </c>
      <c r="B303" s="87" t="s">
        <v>1017</v>
      </c>
      <c r="C303" s="88" t="s">
        <v>121</v>
      </c>
      <c r="D303" s="89" t="s">
        <v>122</v>
      </c>
      <c r="E303" s="55">
        <f>35/25</f>
        <v>1.4</v>
      </c>
    </row>
    <row r="304" spans="1:5" s="157" customFormat="1" x14ac:dyDescent="0.25">
      <c r="A304" s="86">
        <f ca="1">IFERROR(OFFSET(A304,-1,0)+1,1)</f>
        <v>2</v>
      </c>
      <c r="B304" s="153" t="s">
        <v>1018</v>
      </c>
      <c r="C304" s="154" t="s">
        <v>121</v>
      </c>
      <c r="D304" s="155" t="s">
        <v>122</v>
      </c>
      <c r="E304" s="56">
        <f>54/50</f>
        <v>1.08</v>
      </c>
    </row>
    <row r="305" spans="1:5" s="157" customFormat="1" ht="15.75" thickBot="1" x14ac:dyDescent="0.3">
      <c r="A305" s="86">
        <f ca="1">IFERROR(OFFSET(A305,-1,0)+1,1)</f>
        <v>3</v>
      </c>
      <c r="B305" s="153" t="s">
        <v>418</v>
      </c>
      <c r="C305" s="154" t="s">
        <v>121</v>
      </c>
      <c r="D305" s="155" t="s">
        <v>122</v>
      </c>
      <c r="E305" s="56">
        <f>18.23/10</f>
        <v>1.823</v>
      </c>
    </row>
    <row r="306" spans="1:5" s="157" customFormat="1" ht="15.75" thickBot="1" x14ac:dyDescent="0.3">
      <c r="A306" s="280" t="s">
        <v>123</v>
      </c>
      <c r="B306" s="281"/>
      <c r="C306" s="281"/>
      <c r="D306" s="281"/>
      <c r="E306" s="282"/>
    </row>
    <row r="307" spans="1:5" ht="15.75" thickBot="1" x14ac:dyDescent="0.3">
      <c r="A307" s="283"/>
      <c r="B307" s="284"/>
      <c r="C307" s="284"/>
      <c r="D307" s="284"/>
      <c r="E307" s="285"/>
    </row>
    <row r="308" spans="1:5" s="157" customFormat="1" ht="16.5" thickBot="1" x14ac:dyDescent="0.3">
      <c r="A308" s="81" t="s">
        <v>596</v>
      </c>
      <c r="B308" s="82" t="s">
        <v>795</v>
      </c>
      <c r="C308" s="83" t="s">
        <v>121</v>
      </c>
      <c r="D308" s="84"/>
      <c r="E308" s="85">
        <f ca="1">IFERROR(IF($E$4="MÉDIA",AVERAGE(OFFSET(E308,1,0,):OFFSET(E312,-1,0,)),IF($E$4="MEDIANA",MEDIAN(OFFSET(E308,1,0,):OFFSET(E312,-1,0,)),0)),0)</f>
        <v>1440</v>
      </c>
    </row>
    <row r="309" spans="1:5" s="157" customFormat="1" x14ac:dyDescent="0.25">
      <c r="A309" s="86">
        <f ca="1">IFERROR(OFFSET(A309,-1,0)+1,1)</f>
        <v>1</v>
      </c>
      <c r="B309" s="87" t="s">
        <v>796</v>
      </c>
      <c r="C309" s="88" t="s">
        <v>121</v>
      </c>
      <c r="D309" s="89" t="s">
        <v>122</v>
      </c>
      <c r="E309" s="55">
        <v>956</v>
      </c>
    </row>
    <row r="310" spans="1:5" s="157" customFormat="1" x14ac:dyDescent="0.25">
      <c r="A310" s="86">
        <f ca="1">IFERROR(OFFSET(A310,-1,0)+1,1)</f>
        <v>2</v>
      </c>
      <c r="B310" s="153" t="s">
        <v>797</v>
      </c>
      <c r="C310" s="154" t="s">
        <v>121</v>
      </c>
      <c r="D310" s="155" t="s">
        <v>122</v>
      </c>
      <c r="E310" s="56">
        <v>1648</v>
      </c>
    </row>
    <row r="311" spans="1:5" s="157" customFormat="1" ht="15.75" thickBot="1" x14ac:dyDescent="0.3">
      <c r="A311" s="86">
        <f ca="1">IFERROR(OFFSET(A311,-1,0)+1,1)</f>
        <v>3</v>
      </c>
      <c r="B311" s="153" t="s">
        <v>798</v>
      </c>
      <c r="C311" s="154" t="s">
        <v>121</v>
      </c>
      <c r="D311" s="155" t="s">
        <v>122</v>
      </c>
      <c r="E311" s="56">
        <v>1440</v>
      </c>
    </row>
    <row r="312" spans="1:5" s="157" customFormat="1" ht="15.75" thickBot="1" x14ac:dyDescent="0.3">
      <c r="A312" s="280" t="s">
        <v>123</v>
      </c>
      <c r="B312" s="281"/>
      <c r="C312" s="281"/>
      <c r="D312" s="281"/>
      <c r="E312" s="282"/>
    </row>
    <row r="313" spans="1:5" ht="15.75" thickBot="1" x14ac:dyDescent="0.3">
      <c r="A313" s="283"/>
      <c r="B313" s="284"/>
      <c r="C313" s="284"/>
      <c r="D313" s="284"/>
      <c r="E313" s="285"/>
    </row>
    <row r="314" spans="1:5" s="157" customFormat="1" ht="16.5" thickBot="1" x14ac:dyDescent="0.3">
      <c r="A314" s="81" t="s">
        <v>641</v>
      </c>
      <c r="B314" s="82" t="s">
        <v>830</v>
      </c>
      <c r="C314" s="83" t="s">
        <v>121</v>
      </c>
      <c r="D314" s="84"/>
      <c r="E314" s="85">
        <f ca="1">IFERROR(IF($E$4="MÉDIA",AVERAGE(OFFSET(E314,1,0,):OFFSET(E318,-1,0,)),IF($E$4="MEDIANA",MEDIAN(OFFSET(E314,1,0,):OFFSET(E318,-1,0,)),0)),0)</f>
        <v>26.63</v>
      </c>
    </row>
    <row r="315" spans="1:5" s="157" customFormat="1" x14ac:dyDescent="0.25">
      <c r="A315" s="86">
        <f ca="1">IFERROR(OFFSET(A315,-1,0)+1,1)</f>
        <v>1</v>
      </c>
      <c r="B315" s="87" t="s">
        <v>831</v>
      </c>
      <c r="C315" s="88" t="s">
        <v>121</v>
      </c>
      <c r="D315" s="89" t="s">
        <v>122</v>
      </c>
      <c r="E315" s="55">
        <v>26.63</v>
      </c>
    </row>
    <row r="316" spans="1:5" s="157" customFormat="1" x14ac:dyDescent="0.25">
      <c r="A316" s="86">
        <f ca="1">IFERROR(OFFSET(A316,-1,0)+1,1)</f>
        <v>2</v>
      </c>
      <c r="B316" s="153" t="s">
        <v>832</v>
      </c>
      <c r="C316" s="154" t="s">
        <v>121</v>
      </c>
      <c r="D316" s="155" t="s">
        <v>122</v>
      </c>
      <c r="E316" s="56">
        <v>20</v>
      </c>
    </row>
    <row r="317" spans="1:5" s="157" customFormat="1" ht="15.75" thickBot="1" x14ac:dyDescent="0.3">
      <c r="A317" s="86">
        <f ca="1">IFERROR(OFFSET(A317,-1,0)+1,1)</f>
        <v>3</v>
      </c>
      <c r="B317" s="153" t="s">
        <v>418</v>
      </c>
      <c r="C317" s="154" t="s">
        <v>121</v>
      </c>
      <c r="D317" s="155" t="s">
        <v>122</v>
      </c>
      <c r="E317" s="56">
        <v>33.5</v>
      </c>
    </row>
    <row r="318" spans="1:5" s="157" customFormat="1" ht="15.75" thickBot="1" x14ac:dyDescent="0.3">
      <c r="A318" s="280" t="s">
        <v>123</v>
      </c>
      <c r="B318" s="281"/>
      <c r="C318" s="281"/>
      <c r="D318" s="281"/>
      <c r="E318" s="282"/>
    </row>
    <row r="319" spans="1:5" ht="15.75" thickBot="1" x14ac:dyDescent="0.3">
      <c r="A319" s="283"/>
      <c r="B319" s="284"/>
      <c r="C319" s="284"/>
      <c r="D319" s="284"/>
      <c r="E319" s="285"/>
    </row>
    <row r="320" spans="1:5" s="157" customFormat="1" ht="16.5" thickBot="1" x14ac:dyDescent="0.3">
      <c r="A320" s="81" t="s">
        <v>643</v>
      </c>
      <c r="B320" s="82" t="s">
        <v>931</v>
      </c>
      <c r="C320" s="83" t="s">
        <v>121</v>
      </c>
      <c r="D320" s="84"/>
      <c r="E320" s="85">
        <f ca="1">IFERROR(IF($E$4="MÉDIA",AVERAGE(OFFSET(E320,1,0,):OFFSET(E324,-1,0,)),IF($E$4="MEDIANA",MEDIAN(OFFSET(E320,1,0,):OFFSET(E324,-1,0,)),0)),0)</f>
        <v>109.9</v>
      </c>
    </row>
    <row r="321" spans="1:5" s="157" customFormat="1" x14ac:dyDescent="0.25">
      <c r="A321" s="86">
        <f ca="1">IFERROR(OFFSET(A321,-1,0)+1,1)</f>
        <v>1</v>
      </c>
      <c r="B321" s="87" t="s">
        <v>998</v>
      </c>
      <c r="C321" s="88" t="s">
        <v>121</v>
      </c>
      <c r="D321" s="89" t="s">
        <v>122</v>
      </c>
      <c r="E321" s="55">
        <v>118.07</v>
      </c>
    </row>
    <row r="322" spans="1:5" s="157" customFormat="1" x14ac:dyDescent="0.25">
      <c r="A322" s="86">
        <f ca="1">IFERROR(OFFSET(A322,-1,0)+1,1)</f>
        <v>2</v>
      </c>
      <c r="B322" s="153" t="s">
        <v>999</v>
      </c>
      <c r="C322" s="154" t="s">
        <v>121</v>
      </c>
      <c r="D322" s="155" t="s">
        <v>122</v>
      </c>
      <c r="E322" s="56">
        <v>99.99</v>
      </c>
    </row>
    <row r="323" spans="1:5" s="157" customFormat="1" ht="15.75" thickBot="1" x14ac:dyDescent="0.3">
      <c r="A323" s="86">
        <f ca="1">IFERROR(OFFSET(A323,-1,0)+1,1)</f>
        <v>3</v>
      </c>
      <c r="B323" s="153" t="s">
        <v>418</v>
      </c>
      <c r="C323" s="154" t="s">
        <v>121</v>
      </c>
      <c r="D323" s="155" t="s">
        <v>122</v>
      </c>
      <c r="E323" s="56">
        <v>109.9</v>
      </c>
    </row>
    <row r="324" spans="1:5" s="157" customFormat="1" ht="15.75" thickBot="1" x14ac:dyDescent="0.3">
      <c r="A324" s="280" t="s">
        <v>123</v>
      </c>
      <c r="B324" s="281"/>
      <c r="C324" s="281"/>
      <c r="D324" s="281"/>
      <c r="E324" s="282"/>
    </row>
    <row r="325" spans="1:5" ht="15.75" thickBot="1" x14ac:dyDescent="0.3">
      <c r="A325" s="283"/>
      <c r="B325" s="284"/>
      <c r="C325" s="284"/>
      <c r="D325" s="284"/>
      <c r="E325" s="285"/>
    </row>
    <row r="326" spans="1:5" s="157" customFormat="1" ht="16.5" thickBot="1" x14ac:dyDescent="0.3">
      <c r="A326" s="81" t="s">
        <v>644</v>
      </c>
      <c r="B326" s="82" t="s">
        <v>939</v>
      </c>
      <c r="C326" s="83" t="s">
        <v>121</v>
      </c>
      <c r="D326" s="84"/>
      <c r="E326" s="85">
        <f ca="1">IFERROR(IF($E$4="MÉDIA",AVERAGE(OFFSET(E326,1,0,):OFFSET(E330,-1,0,)),IF($E$4="MEDIANA",MEDIAN(OFFSET(E326,1,0,):OFFSET(E330,-1,0,)),0)),0)</f>
        <v>617.23</v>
      </c>
    </row>
    <row r="327" spans="1:5" s="157" customFormat="1" x14ac:dyDescent="0.25">
      <c r="A327" s="86">
        <f ca="1">IFERROR(OFFSET(A327,-1,0)+1,1)</f>
        <v>1</v>
      </c>
      <c r="B327" s="87" t="s">
        <v>1002</v>
      </c>
      <c r="C327" s="88" t="s">
        <v>121</v>
      </c>
      <c r="D327" s="89" t="s">
        <v>122</v>
      </c>
      <c r="E327" s="55">
        <v>470.9</v>
      </c>
    </row>
    <row r="328" spans="1:5" s="157" customFormat="1" x14ac:dyDescent="0.25">
      <c r="A328" s="86">
        <f ca="1">IFERROR(OFFSET(A328,-1,0)+1,1)</f>
        <v>2</v>
      </c>
      <c r="B328" s="153" t="s">
        <v>418</v>
      </c>
      <c r="C328" s="154" t="s">
        <v>121</v>
      </c>
      <c r="D328" s="155" t="s">
        <v>122</v>
      </c>
      <c r="E328" s="56">
        <v>652</v>
      </c>
    </row>
    <row r="329" spans="1:5" s="157" customFormat="1" ht="15.75" thickBot="1" x14ac:dyDescent="0.3">
      <c r="A329" s="86">
        <f ca="1">IFERROR(OFFSET(A329,-1,0)+1,1)</f>
        <v>3</v>
      </c>
      <c r="B329" s="153" t="s">
        <v>1003</v>
      </c>
      <c r="C329" s="154" t="s">
        <v>121</v>
      </c>
      <c r="D329" s="155" t="s">
        <v>122</v>
      </c>
      <c r="E329" s="56">
        <v>617.23</v>
      </c>
    </row>
    <row r="330" spans="1:5" s="157" customFormat="1" ht="15.75" thickBot="1" x14ac:dyDescent="0.3">
      <c r="A330" s="280" t="s">
        <v>123</v>
      </c>
      <c r="B330" s="281"/>
      <c r="C330" s="281"/>
      <c r="D330" s="281"/>
      <c r="E330" s="282"/>
    </row>
    <row r="331" spans="1:5" ht="15.75" thickBot="1" x14ac:dyDescent="0.3">
      <c r="A331" s="283"/>
      <c r="B331" s="284"/>
      <c r="C331" s="284"/>
      <c r="D331" s="284"/>
      <c r="E331" s="285"/>
    </row>
    <row r="332" spans="1:5" s="157" customFormat="1" ht="16.5" thickBot="1" x14ac:dyDescent="0.3">
      <c r="A332" s="81" t="s">
        <v>1021</v>
      </c>
      <c r="B332" s="82" t="s">
        <v>1004</v>
      </c>
      <c r="C332" s="83" t="s">
        <v>121</v>
      </c>
      <c r="D332" s="84"/>
      <c r="E332" s="85">
        <f ca="1">IFERROR(IF($E$4="MÉDIA",AVERAGE(OFFSET(E332,1,0,):OFFSET(E336,-1,0,)),IF($E$4="MEDIANA",MEDIAN(OFFSET(E332,1,0,):OFFSET(E336,-1,0,)),0)),0)</f>
        <v>53111</v>
      </c>
    </row>
    <row r="333" spans="1:5" s="157" customFormat="1" x14ac:dyDescent="0.25">
      <c r="A333" s="86">
        <f ca="1">IFERROR(OFFSET(A333,-1,0)+1,1)</f>
        <v>1</v>
      </c>
      <c r="B333" s="87" t="s">
        <v>642</v>
      </c>
      <c r="C333" s="88" t="s">
        <v>121</v>
      </c>
      <c r="D333" s="89" t="s">
        <v>122</v>
      </c>
      <c r="E333" s="55">
        <v>48510</v>
      </c>
    </row>
    <row r="334" spans="1:5" s="157" customFormat="1" x14ac:dyDescent="0.25">
      <c r="A334" s="86">
        <f ca="1">IFERROR(OFFSET(A334,-1,0)+1,1)</f>
        <v>2</v>
      </c>
      <c r="B334" s="153" t="s">
        <v>1005</v>
      </c>
      <c r="C334" s="154" t="s">
        <v>121</v>
      </c>
      <c r="D334" s="155" t="s">
        <v>122</v>
      </c>
      <c r="E334" s="56">
        <v>53111</v>
      </c>
    </row>
    <row r="335" spans="1:5" s="157" customFormat="1" ht="15.75" thickBot="1" x14ac:dyDescent="0.3">
      <c r="A335" s="86">
        <f ca="1">IFERROR(OFFSET(A335,-1,0)+1,1)</f>
        <v>3</v>
      </c>
      <c r="B335" s="153" t="s">
        <v>1006</v>
      </c>
      <c r="C335" s="154" t="s">
        <v>121</v>
      </c>
      <c r="D335" s="155" t="s">
        <v>122</v>
      </c>
      <c r="E335" s="56">
        <v>53289</v>
      </c>
    </row>
    <row r="336" spans="1:5" s="157" customFormat="1" ht="15.75" thickBot="1" x14ac:dyDescent="0.3">
      <c r="A336" s="280" t="s">
        <v>123</v>
      </c>
      <c r="B336" s="281"/>
      <c r="C336" s="281"/>
      <c r="D336" s="281"/>
      <c r="E336" s="282"/>
    </row>
    <row r="337" spans="1:5" ht="15.75" thickBot="1" x14ac:dyDescent="0.3">
      <c r="A337" s="283"/>
      <c r="B337" s="284"/>
      <c r="C337" s="284"/>
      <c r="D337" s="284"/>
      <c r="E337" s="285"/>
    </row>
    <row r="338" spans="1:5" s="157" customFormat="1" x14ac:dyDescent="0.25"/>
    <row r="339" spans="1:5" s="157" customFormat="1" x14ac:dyDescent="0.25"/>
    <row r="340" spans="1:5" s="157" customFormat="1" x14ac:dyDescent="0.25"/>
    <row r="341" spans="1:5" s="157" customFormat="1" x14ac:dyDescent="0.25"/>
    <row r="342" spans="1:5" s="157" customFormat="1" x14ac:dyDescent="0.25"/>
    <row r="343" spans="1:5" ht="15.75" thickBot="1" x14ac:dyDescent="0.3">
      <c r="A343" s="283"/>
      <c r="B343" s="284"/>
      <c r="C343" s="284"/>
      <c r="D343" s="284"/>
      <c r="E343" s="285"/>
    </row>
  </sheetData>
  <mergeCells count="1">
    <mergeCell ref="A1:E1"/>
  </mergeCells>
  <conditionalFormatting sqref="B4">
    <cfRule type="expression" dxfId="39" priority="1">
      <formula>B4=""</formula>
    </cfRule>
  </conditionalFormatting>
  <dataValidations disablePrompts="1" count="1">
    <dataValidation type="list" allowBlank="1" showInputMessage="1" showErrorMessage="1" sqref="E4" xr:uid="{416719CA-708B-4BA6-B8B1-613428E2586C}">
      <formula1>#REF!</formula1>
    </dataValidation>
  </dataValidations>
  <pageMargins left="0.511811024" right="0.511811024" top="0.78740157499999996" bottom="0.78740157499999996" header="0.31496062000000002" footer="0.31496062000000002"/>
  <pageSetup paperSize="9" scale="55" orientation="portrait" r:id="rId1"/>
  <rowBreaks count="1" manualBreakCount="1">
    <brk id="187" max="16383" man="1"/>
  </rowBreaks>
  <colBreaks count="1" manualBreakCount="1">
    <brk id="5"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3"/>
  <sheetViews>
    <sheetView view="pageBreakPreview" topLeftCell="B1" zoomScale="85" zoomScaleNormal="70" zoomScaleSheetLayoutView="85" workbookViewId="0">
      <selection activeCell="B1" sqref="A1:XFD1048576"/>
    </sheetView>
  </sheetViews>
  <sheetFormatPr defaultRowHeight="15" x14ac:dyDescent="0.25"/>
  <cols>
    <col min="1" max="1" width="21" style="68" customWidth="1"/>
    <col min="2" max="2" width="37.5703125" style="68" customWidth="1"/>
    <col min="3" max="3" width="17.5703125" style="68" customWidth="1"/>
    <col min="4" max="5" width="34.85546875" style="68" customWidth="1"/>
    <col min="6" max="6" width="13.7109375" style="68" customWidth="1"/>
    <col min="7" max="7" width="15" style="68" bestFit="1" customWidth="1"/>
    <col min="8" max="9" width="15.28515625" style="68" bestFit="1" customWidth="1"/>
    <col min="10" max="10" width="21.28515625" style="68" customWidth="1"/>
    <col min="11" max="11" width="11.5703125" style="68" bestFit="1" customWidth="1"/>
    <col min="12" max="12" width="9.140625" style="68"/>
    <col min="13" max="13" width="16" style="68" bestFit="1" customWidth="1"/>
    <col min="14" max="16384" width="9.140625" style="68"/>
  </cols>
  <sheetData>
    <row r="1" spans="1:14" s="94" customFormat="1" ht="93" customHeight="1" thickBot="1" x14ac:dyDescent="0.3">
      <c r="A1" s="465" t="s">
        <v>81</v>
      </c>
      <c r="B1" s="466"/>
      <c r="C1" s="466"/>
      <c r="D1" s="466"/>
      <c r="E1" s="466"/>
      <c r="F1" s="466"/>
      <c r="G1" s="466"/>
      <c r="H1" s="466"/>
      <c r="I1" s="466"/>
      <c r="J1" s="467"/>
      <c r="K1" s="418"/>
      <c r="L1" s="419"/>
      <c r="M1" s="418"/>
      <c r="N1" s="420"/>
    </row>
    <row r="2" spans="1:14" s="94" customFormat="1" x14ac:dyDescent="0.25">
      <c r="A2" s="48" t="s">
        <v>659</v>
      </c>
      <c r="B2" s="450" t="s">
        <v>111</v>
      </c>
      <c r="C2" s="450"/>
      <c r="D2" s="450"/>
      <c r="E2" s="450"/>
      <c r="F2" s="450"/>
      <c r="G2" s="450"/>
      <c r="H2" s="450"/>
      <c r="I2" s="450"/>
      <c r="J2" s="97">
        <f>BDI!$Z$21</f>
        <v>0.22470000000000001</v>
      </c>
      <c r="K2" s="421"/>
      <c r="L2" s="419"/>
      <c r="M2" s="418"/>
      <c r="N2" s="420"/>
    </row>
    <row r="3" spans="1:14" s="94" customFormat="1" x14ac:dyDescent="0.25">
      <c r="A3" s="49" t="s">
        <v>221</v>
      </c>
      <c r="B3" s="449" t="s">
        <v>114</v>
      </c>
      <c r="C3" s="449"/>
      <c r="D3" s="449"/>
      <c r="E3" s="449"/>
      <c r="F3" s="449"/>
      <c r="G3" s="449"/>
      <c r="H3" s="449"/>
      <c r="I3" s="449"/>
      <c r="J3" s="98" t="str">
        <f>'Orçamento '!J3</f>
        <v>REV_04</v>
      </c>
      <c r="K3" s="421"/>
      <c r="L3" s="419"/>
      <c r="M3" s="418"/>
      <c r="N3" s="420"/>
    </row>
    <row r="4" spans="1:14" s="94" customFormat="1" ht="15.75" thickBot="1" x14ac:dyDescent="0.3">
      <c r="A4" s="50" t="s">
        <v>80</v>
      </c>
      <c r="B4" s="472" t="s">
        <v>867</v>
      </c>
      <c r="C4" s="472"/>
      <c r="D4" s="472"/>
      <c r="E4" s="472"/>
      <c r="F4" s="472"/>
      <c r="G4" s="472"/>
      <c r="H4" s="472"/>
      <c r="I4" s="472"/>
      <c r="J4" s="422" t="str">
        <f>Resumo!D4</f>
        <v>SETEMBRO_2024</v>
      </c>
      <c r="K4" s="421"/>
      <c r="L4" s="419"/>
      <c r="M4" s="418"/>
      <c r="N4" s="420"/>
    </row>
    <row r="5" spans="1:14" ht="15.75" thickBot="1" x14ac:dyDescent="0.3">
      <c r="A5" s="525"/>
      <c r="B5" s="526"/>
      <c r="C5" s="526"/>
      <c r="D5" s="526"/>
      <c r="E5" s="526"/>
      <c r="F5" s="526"/>
      <c r="G5" s="526"/>
      <c r="H5" s="526"/>
      <c r="I5" s="526"/>
      <c r="J5" s="527"/>
    </row>
    <row r="6" spans="1:14" s="1" customFormat="1" ht="28.5" customHeight="1" thickBot="1" x14ac:dyDescent="0.3">
      <c r="A6" s="443" t="s">
        <v>81</v>
      </c>
      <c r="B6" s="444"/>
      <c r="C6" s="445"/>
      <c r="D6" s="445"/>
      <c r="E6" s="445"/>
      <c r="F6" s="445"/>
      <c r="G6" s="445"/>
      <c r="H6" s="445"/>
      <c r="I6" s="445"/>
      <c r="J6" s="446"/>
    </row>
    <row r="7" spans="1:14" s="18" customFormat="1" ht="20.25" customHeight="1" thickBot="1" x14ac:dyDescent="0.3">
      <c r="A7" s="528" t="s">
        <v>82</v>
      </c>
      <c r="B7" s="528" t="s">
        <v>83</v>
      </c>
      <c r="C7" s="530" t="s">
        <v>90</v>
      </c>
      <c r="D7" s="531"/>
      <c r="E7" s="532"/>
      <c r="F7" s="536" t="s">
        <v>304</v>
      </c>
      <c r="G7" s="537"/>
      <c r="H7" s="537"/>
      <c r="I7" s="537"/>
      <c r="J7" s="538"/>
    </row>
    <row r="8" spans="1:14" s="19" customFormat="1" ht="20.25" customHeight="1" thickBot="1" x14ac:dyDescent="0.3">
      <c r="A8" s="529"/>
      <c r="B8" s="529"/>
      <c r="C8" s="533"/>
      <c r="D8" s="534"/>
      <c r="E8" s="535"/>
      <c r="F8" s="8">
        <f t="shared" ref="F8:I8" ca="1" si="0">OFFSET(F8,0,-1)+1</f>
        <v>1</v>
      </c>
      <c r="G8" s="8">
        <f t="shared" ca="1" si="0"/>
        <v>2</v>
      </c>
      <c r="H8" s="8">
        <f t="shared" ca="1" si="0"/>
        <v>3</v>
      </c>
      <c r="I8" s="8">
        <f t="shared" ca="1" si="0"/>
        <v>4</v>
      </c>
      <c r="J8" s="8" t="s">
        <v>0</v>
      </c>
    </row>
    <row r="9" spans="1:14" s="18" customFormat="1" ht="20.25" customHeight="1" x14ac:dyDescent="0.25">
      <c r="A9" s="540">
        <f>'Orçamento '!$A10</f>
        <v>1</v>
      </c>
      <c r="B9" s="543" t="str">
        <f>'Orçamento '!$D$10</f>
        <v>ADMINISTRAÇÃO LOCAL DA OBRA</v>
      </c>
      <c r="C9" s="516">
        <f>'Orçamento '!$J$10</f>
        <v>73099.293496999991</v>
      </c>
      <c r="D9" s="519">
        <f ca="1">C9/$C$111</f>
        <v>6.1404896476219779E-2</v>
      </c>
      <c r="E9" s="9" t="s">
        <v>75</v>
      </c>
      <c r="F9" s="10">
        <v>0.25</v>
      </c>
      <c r="G9" s="10">
        <v>0.25</v>
      </c>
      <c r="H9" s="10">
        <v>0.25</v>
      </c>
      <c r="I9" s="10">
        <v>0.25</v>
      </c>
      <c r="J9" s="11">
        <f>SUM(F9:I9)</f>
        <v>1</v>
      </c>
      <c r="L9" s="22"/>
    </row>
    <row r="10" spans="1:14" s="18" customFormat="1" ht="20.25" customHeight="1" x14ac:dyDescent="0.25">
      <c r="A10" s="541"/>
      <c r="B10" s="514"/>
      <c r="C10" s="517"/>
      <c r="D10" s="520"/>
      <c r="E10" s="12"/>
      <c r="F10" s="13"/>
      <c r="G10" s="13"/>
      <c r="H10" s="13"/>
      <c r="I10" s="13"/>
      <c r="J10" s="14"/>
    </row>
    <row r="11" spans="1:14" s="18" customFormat="1" ht="20.25" customHeight="1" thickBot="1" x14ac:dyDescent="0.3">
      <c r="A11" s="542"/>
      <c r="B11" s="515"/>
      <c r="C11" s="518"/>
      <c r="D11" s="521"/>
      <c r="E11" s="15" t="s">
        <v>85</v>
      </c>
      <c r="F11" s="16">
        <f>$C9*F9</f>
        <v>18274.823374249998</v>
      </c>
      <c r="G11" s="16">
        <f t="shared" ref="G11:J11" si="1">$C9*G9</f>
        <v>18274.823374249998</v>
      </c>
      <c r="H11" s="16">
        <f t="shared" ref="H11:I11" si="2">$C9*H9</f>
        <v>18274.823374249998</v>
      </c>
      <c r="I11" s="16">
        <f t="shared" si="2"/>
        <v>18274.823374249998</v>
      </c>
      <c r="J11" s="17">
        <f t="shared" si="1"/>
        <v>73099.293496999991</v>
      </c>
      <c r="L11" s="23"/>
    </row>
    <row r="12" spans="1:14" s="18" customFormat="1" ht="20.25" customHeight="1" x14ac:dyDescent="0.25">
      <c r="A12" s="539">
        <v>2</v>
      </c>
      <c r="B12" s="513" t="str">
        <f>'Orçamento '!$D$14</f>
        <v>REGULARIZAÇÃO E MOBILIZAÇÃO</v>
      </c>
      <c r="C12" s="516">
        <f ca="1">'Orçamento '!$J$14</f>
        <v>8767.6079339308508</v>
      </c>
      <c r="D12" s="519">
        <f ca="1">C12/$C$111</f>
        <v>7.364969369357887E-3</v>
      </c>
      <c r="E12" s="9" t="s">
        <v>75</v>
      </c>
      <c r="F12" s="10">
        <v>0.35</v>
      </c>
      <c r="G12" s="10"/>
      <c r="H12" s="10"/>
      <c r="I12" s="10">
        <v>0.65</v>
      </c>
      <c r="J12" s="11">
        <f>SUM(F12:I12)</f>
        <v>1</v>
      </c>
      <c r="L12" s="22"/>
    </row>
    <row r="13" spans="1:14" s="18" customFormat="1" ht="20.25" customHeight="1" x14ac:dyDescent="0.25">
      <c r="A13" s="523"/>
      <c r="B13" s="514"/>
      <c r="C13" s="517"/>
      <c r="D13" s="520"/>
      <c r="E13" s="12"/>
      <c r="F13" s="13"/>
      <c r="G13" s="13"/>
      <c r="H13" s="13"/>
      <c r="I13" s="13"/>
      <c r="J13" s="14"/>
    </row>
    <row r="14" spans="1:14" s="18" customFormat="1" ht="20.25" customHeight="1" thickBot="1" x14ac:dyDescent="0.3">
      <c r="A14" s="524"/>
      <c r="B14" s="515"/>
      <c r="C14" s="518"/>
      <c r="D14" s="521"/>
      <c r="E14" s="15" t="s">
        <v>85</v>
      </c>
      <c r="F14" s="16">
        <f t="shared" ref="F14:J14" ca="1" si="3">$C12*F12</f>
        <v>3068.6627768757976</v>
      </c>
      <c r="G14" s="16">
        <f t="shared" ca="1" si="3"/>
        <v>0</v>
      </c>
      <c r="H14" s="16">
        <f t="shared" ref="H14:I14" ca="1" si="4">$C12*H12</f>
        <v>0</v>
      </c>
      <c r="I14" s="16">
        <f t="shared" ca="1" si="4"/>
        <v>5698.9451570550536</v>
      </c>
      <c r="J14" s="17">
        <f t="shared" ca="1" si="3"/>
        <v>8767.6079339308508</v>
      </c>
      <c r="L14" s="23"/>
    </row>
    <row r="15" spans="1:14" s="18" customFormat="1" ht="20.25" customHeight="1" x14ac:dyDescent="0.25">
      <c r="A15" s="539">
        <f>'Orçamento '!A25</f>
        <v>3</v>
      </c>
      <c r="B15" s="513" t="str">
        <f>'Orçamento '!$D$25</f>
        <v>DEMOLIÇÕES E REMOÇÕES</v>
      </c>
      <c r="C15" s="516">
        <f>'Orçamento '!$J$25</f>
        <v>16992.059564611369</v>
      </c>
      <c r="D15" s="519">
        <f ca="1">C15/$C$111</f>
        <v>1.4273676373158687E-2</v>
      </c>
      <c r="E15" s="9" t="s">
        <v>75</v>
      </c>
      <c r="F15" s="10">
        <v>0.5</v>
      </c>
      <c r="G15" s="10">
        <v>0.5</v>
      </c>
      <c r="H15" s="10"/>
      <c r="I15" s="10"/>
      <c r="J15" s="11">
        <f>SUM(F15:I15)</f>
        <v>1</v>
      </c>
      <c r="L15" s="22"/>
    </row>
    <row r="16" spans="1:14" s="18" customFormat="1" ht="20.25" customHeight="1" x14ac:dyDescent="0.25">
      <c r="A16" s="523"/>
      <c r="B16" s="514"/>
      <c r="C16" s="517"/>
      <c r="D16" s="520"/>
      <c r="E16" s="12"/>
      <c r="F16" s="13"/>
      <c r="G16" s="13"/>
      <c r="H16" s="13"/>
      <c r="I16" s="13"/>
      <c r="J16" s="14"/>
    </row>
    <row r="17" spans="1:12" s="18" customFormat="1" ht="20.25" customHeight="1" thickBot="1" x14ac:dyDescent="0.3">
      <c r="A17" s="524"/>
      <c r="B17" s="515"/>
      <c r="C17" s="518"/>
      <c r="D17" s="521"/>
      <c r="E17" s="15" t="s">
        <v>85</v>
      </c>
      <c r="F17" s="16">
        <f>$C15*F15</f>
        <v>8496.0297823056844</v>
      </c>
      <c r="G17" s="16">
        <f t="shared" ref="G17" si="5">$C15*G15</f>
        <v>8496.0297823056844</v>
      </c>
      <c r="H17" s="16">
        <f t="shared" ref="H17:I17" si="6">$C15*H15</f>
        <v>0</v>
      </c>
      <c r="I17" s="16">
        <f t="shared" si="6"/>
        <v>0</v>
      </c>
      <c r="J17" s="17">
        <f>$C15*J15</f>
        <v>16992.059564611369</v>
      </c>
      <c r="L17" s="23"/>
    </row>
    <row r="18" spans="1:12" s="18" customFormat="1" ht="20.25" customHeight="1" x14ac:dyDescent="0.25">
      <c r="A18" s="539">
        <f>'Orçamento '!A38</f>
        <v>4</v>
      </c>
      <c r="B18" s="513" t="str">
        <f>'Orçamento '!D$38</f>
        <v>SERVIÇOS CIVIS</v>
      </c>
      <c r="C18" s="516">
        <f>'Orçamento '!J$38</f>
        <v>17330.532395931205</v>
      </c>
      <c r="D18" s="519">
        <f ca="1">C18/$C$111</f>
        <v>1.4558000450354597E-2</v>
      </c>
      <c r="E18" s="9" t="s">
        <v>75</v>
      </c>
      <c r="F18" s="10"/>
      <c r="G18" s="10">
        <v>1</v>
      </c>
      <c r="H18" s="10"/>
      <c r="I18" s="10"/>
      <c r="J18" s="11">
        <f>SUM(F18:I18)</f>
        <v>1</v>
      </c>
      <c r="L18" s="22"/>
    </row>
    <row r="19" spans="1:12" s="18" customFormat="1" ht="20.25" customHeight="1" x14ac:dyDescent="0.25">
      <c r="A19" s="523"/>
      <c r="B19" s="514"/>
      <c r="C19" s="517"/>
      <c r="D19" s="520"/>
      <c r="E19" s="12"/>
      <c r="F19" s="13"/>
      <c r="G19" s="13"/>
      <c r="H19" s="13"/>
      <c r="I19" s="13"/>
      <c r="J19" s="14"/>
    </row>
    <row r="20" spans="1:12" s="18" customFormat="1" ht="20.25" customHeight="1" thickBot="1" x14ac:dyDescent="0.3">
      <c r="A20" s="524"/>
      <c r="B20" s="515"/>
      <c r="C20" s="518"/>
      <c r="D20" s="521"/>
      <c r="E20" s="15" t="s">
        <v>85</v>
      </c>
      <c r="F20" s="16">
        <f t="shared" ref="F20:J20" si="7">$C18*F18</f>
        <v>0</v>
      </c>
      <c r="G20" s="16">
        <f t="shared" si="7"/>
        <v>17330.532395931205</v>
      </c>
      <c r="H20" s="16">
        <f t="shared" ref="H20:I20" si="8">$C18*H18</f>
        <v>0</v>
      </c>
      <c r="I20" s="16">
        <f t="shared" si="8"/>
        <v>0</v>
      </c>
      <c r="J20" s="17">
        <f t="shared" si="7"/>
        <v>17330.532395931205</v>
      </c>
      <c r="L20" s="23"/>
    </row>
    <row r="21" spans="1:12" s="18" customFormat="1" ht="20.25" customHeight="1" x14ac:dyDescent="0.25">
      <c r="A21" s="539">
        <f>'Orçamento '!A43</f>
        <v>5</v>
      </c>
      <c r="B21" s="513" t="str">
        <f>'Orçamento '!D$43</f>
        <v>FORROS E FECHAMENTOS EM DRY-WALL</v>
      </c>
      <c r="C21" s="516">
        <f ca="1">'Orçamento '!J$43</f>
        <v>130783.67645771461</v>
      </c>
      <c r="D21" s="519">
        <f ca="1">C21/$C$111</f>
        <v>0.1098609539091506</v>
      </c>
      <c r="E21" s="9" t="s">
        <v>75</v>
      </c>
      <c r="F21" s="10"/>
      <c r="G21" s="10">
        <v>0.5</v>
      </c>
      <c r="H21" s="10">
        <v>0.5</v>
      </c>
      <c r="I21" s="10"/>
      <c r="J21" s="11">
        <f>SUM(F21:I21)</f>
        <v>1</v>
      </c>
      <c r="L21" s="22"/>
    </row>
    <row r="22" spans="1:12" s="18" customFormat="1" ht="20.25" customHeight="1" x14ac:dyDescent="0.25">
      <c r="A22" s="523"/>
      <c r="B22" s="514"/>
      <c r="C22" s="517"/>
      <c r="D22" s="520"/>
      <c r="E22" s="12"/>
      <c r="F22" s="13"/>
      <c r="G22" s="13"/>
      <c r="H22" s="13"/>
      <c r="I22" s="13"/>
      <c r="J22" s="14"/>
    </row>
    <row r="23" spans="1:12" s="18" customFormat="1" ht="20.25" customHeight="1" thickBot="1" x14ac:dyDescent="0.3">
      <c r="A23" s="524"/>
      <c r="B23" s="515"/>
      <c r="C23" s="518"/>
      <c r="D23" s="521"/>
      <c r="E23" s="15" t="s">
        <v>85</v>
      </c>
      <c r="F23" s="16">
        <f t="shared" ref="F23:J23" ca="1" si="9">$C21*F21</f>
        <v>0</v>
      </c>
      <c r="G23" s="16">
        <f t="shared" ca="1" si="9"/>
        <v>65391.838228857305</v>
      </c>
      <c r="H23" s="16">
        <f t="shared" ref="H23:I23" ca="1" si="10">$C21*H21</f>
        <v>65391.838228857305</v>
      </c>
      <c r="I23" s="16">
        <f t="shared" ca="1" si="10"/>
        <v>0</v>
      </c>
      <c r="J23" s="17">
        <f t="shared" ca="1" si="9"/>
        <v>130783.67645771461</v>
      </c>
      <c r="L23" s="23"/>
    </row>
    <row r="24" spans="1:12" s="18" customFormat="1" ht="20.25" customHeight="1" x14ac:dyDescent="0.25">
      <c r="A24" s="522" t="s">
        <v>87</v>
      </c>
      <c r="B24" s="513" t="str">
        <f>'Orçamento '!$D$56</f>
        <v>REVESTIMENTOS E ROCHAS ORNAMENTAIS</v>
      </c>
      <c r="C24" s="516">
        <f ca="1">'Orçamento '!$J$56</f>
        <v>70165.779362677888</v>
      </c>
      <c r="D24" s="519">
        <f ca="1">C24/$C$111</f>
        <v>5.8940684811342764E-2</v>
      </c>
      <c r="E24" s="9" t="s">
        <v>75</v>
      </c>
      <c r="F24" s="10"/>
      <c r="G24" s="10">
        <v>0.5</v>
      </c>
      <c r="H24" s="10">
        <v>0.5</v>
      </c>
      <c r="I24" s="10"/>
      <c r="J24" s="11">
        <f>SUM(F24:I24)</f>
        <v>1</v>
      </c>
      <c r="L24" s="22"/>
    </row>
    <row r="25" spans="1:12" s="18" customFormat="1" ht="20.25" customHeight="1" x14ac:dyDescent="0.25">
      <c r="A25" s="523"/>
      <c r="B25" s="514"/>
      <c r="C25" s="517"/>
      <c r="D25" s="520"/>
      <c r="E25" s="12"/>
      <c r="F25" s="13"/>
      <c r="G25" s="13"/>
      <c r="H25" s="13"/>
      <c r="I25" s="13"/>
      <c r="J25" s="14"/>
    </row>
    <row r="26" spans="1:12" s="18" customFormat="1" ht="20.25" customHeight="1" thickBot="1" x14ac:dyDescent="0.3">
      <c r="A26" s="524"/>
      <c r="B26" s="515"/>
      <c r="C26" s="518"/>
      <c r="D26" s="521"/>
      <c r="E26" s="15" t="s">
        <v>85</v>
      </c>
      <c r="F26" s="16">
        <f t="shared" ref="F26:J26" ca="1" si="11">$C24*F24</f>
        <v>0</v>
      </c>
      <c r="G26" s="16">
        <f t="shared" ca="1" si="11"/>
        <v>35082.889681338944</v>
      </c>
      <c r="H26" s="16">
        <f t="shared" ref="H26:I26" ca="1" si="12">$C24*H24</f>
        <v>35082.889681338944</v>
      </c>
      <c r="I26" s="16">
        <f t="shared" ca="1" si="12"/>
        <v>0</v>
      </c>
      <c r="J26" s="17">
        <f t="shared" ca="1" si="11"/>
        <v>70165.779362677888</v>
      </c>
      <c r="L26" s="23"/>
    </row>
    <row r="27" spans="1:12" s="18" customFormat="1" ht="20.25" customHeight="1" x14ac:dyDescent="0.25">
      <c r="A27" s="522" t="s">
        <v>146</v>
      </c>
      <c r="B27" s="513" t="str">
        <f>'Orçamento '!$D$61</f>
        <v>ITENS DIVERSOS</v>
      </c>
      <c r="C27" s="516">
        <f>'Orçamento '!$J$61</f>
        <v>543.06872099999998</v>
      </c>
      <c r="D27" s="519">
        <f ca="1">C27/$C$111</f>
        <v>4.5618879468167024E-4</v>
      </c>
      <c r="E27" s="9" t="s">
        <v>75</v>
      </c>
      <c r="F27" s="10"/>
      <c r="G27" s="10">
        <v>1</v>
      </c>
      <c r="H27" s="10"/>
      <c r="I27" s="10"/>
      <c r="J27" s="11">
        <f>SUM(F27:I27)</f>
        <v>1</v>
      </c>
      <c r="L27" s="22"/>
    </row>
    <row r="28" spans="1:12" s="18" customFormat="1" ht="20.25" customHeight="1" x14ac:dyDescent="0.25">
      <c r="A28" s="523"/>
      <c r="B28" s="514"/>
      <c r="C28" s="517"/>
      <c r="D28" s="520"/>
      <c r="E28" s="12"/>
      <c r="F28" s="13"/>
      <c r="G28" s="13"/>
      <c r="H28" s="13"/>
      <c r="I28" s="13"/>
      <c r="J28" s="14"/>
    </row>
    <row r="29" spans="1:12" s="18" customFormat="1" ht="20.25" customHeight="1" thickBot="1" x14ac:dyDescent="0.3">
      <c r="A29" s="524"/>
      <c r="B29" s="515"/>
      <c r="C29" s="518"/>
      <c r="D29" s="521"/>
      <c r="E29" s="15" t="s">
        <v>85</v>
      </c>
      <c r="F29" s="16">
        <f t="shared" ref="F29:J29" si="13">$C27*F27</f>
        <v>0</v>
      </c>
      <c r="G29" s="16">
        <f t="shared" si="13"/>
        <v>543.06872099999998</v>
      </c>
      <c r="H29" s="16">
        <f t="shared" ref="H29:I29" si="14">$C27*H27</f>
        <v>0</v>
      </c>
      <c r="I29" s="16">
        <f t="shared" si="14"/>
        <v>0</v>
      </c>
      <c r="J29" s="17">
        <f t="shared" si="13"/>
        <v>543.06872099999998</v>
      </c>
      <c r="L29" s="23"/>
    </row>
    <row r="30" spans="1:12" s="18" customFormat="1" ht="20.25" customHeight="1" x14ac:dyDescent="0.25">
      <c r="A30" s="522" t="s">
        <v>147</v>
      </c>
      <c r="B30" s="513" t="str">
        <f>'Orçamento '!$D$64</f>
        <v>ALIMENTAÇÃO QUADRO ELÉTRICO QDC-04B</v>
      </c>
      <c r="C30" s="516">
        <f ca="1">'Orçamento '!$J$64</f>
        <v>7459.1345506999996</v>
      </c>
      <c r="D30" s="519">
        <f ca="1">C30/$C$111</f>
        <v>6.2658250576214554E-3</v>
      </c>
      <c r="E30" s="9" t="s">
        <v>75</v>
      </c>
      <c r="F30" s="10"/>
      <c r="G30" s="10">
        <v>1</v>
      </c>
      <c r="H30" s="10"/>
      <c r="I30" s="10"/>
      <c r="J30" s="11">
        <f>SUM(F30:I30)</f>
        <v>1</v>
      </c>
      <c r="L30" s="22"/>
    </row>
    <row r="31" spans="1:12" s="18" customFormat="1" ht="20.25" customHeight="1" x14ac:dyDescent="0.25">
      <c r="A31" s="523"/>
      <c r="B31" s="514"/>
      <c r="C31" s="517"/>
      <c r="D31" s="520"/>
      <c r="E31" s="12"/>
      <c r="F31" s="13"/>
      <c r="G31" s="13"/>
      <c r="H31" s="13"/>
      <c r="I31" s="13"/>
      <c r="J31" s="14"/>
    </row>
    <row r="32" spans="1:12" s="18" customFormat="1" ht="20.25" customHeight="1" thickBot="1" x14ac:dyDescent="0.3">
      <c r="A32" s="524"/>
      <c r="B32" s="515"/>
      <c r="C32" s="518"/>
      <c r="D32" s="521"/>
      <c r="E32" s="15" t="s">
        <v>85</v>
      </c>
      <c r="F32" s="16">
        <f t="shared" ref="F32:J32" ca="1" si="15">$C30*F30</f>
        <v>0</v>
      </c>
      <c r="G32" s="16">
        <f t="shared" ca="1" si="15"/>
        <v>7459.1345506999996</v>
      </c>
      <c r="H32" s="16">
        <f t="shared" ref="H32:I32" ca="1" si="16">$C30*H30</f>
        <v>0</v>
      </c>
      <c r="I32" s="16">
        <f t="shared" ca="1" si="16"/>
        <v>0</v>
      </c>
      <c r="J32" s="17">
        <f t="shared" ca="1" si="15"/>
        <v>7459.1345506999996</v>
      </c>
      <c r="L32" s="23"/>
    </row>
    <row r="33" spans="1:12" s="18" customFormat="1" ht="20.25" customHeight="1" x14ac:dyDescent="0.25">
      <c r="A33" s="522" t="s">
        <v>148</v>
      </c>
      <c r="B33" s="513" t="str">
        <f>'Orçamento '!$D$72</f>
        <v>QUADRO DE FORÇA QFAC-4º PAVIMENTO</v>
      </c>
      <c r="C33" s="516">
        <f ca="1">'Orçamento '!$J$72</f>
        <v>3361.8300355099996</v>
      </c>
      <c r="D33" s="519">
        <f ca="1">C33/$C$111</f>
        <v>2.8240057519791193E-3</v>
      </c>
      <c r="E33" s="9" t="s">
        <v>75</v>
      </c>
      <c r="F33" s="10"/>
      <c r="G33" s="10">
        <v>0.9</v>
      </c>
      <c r="H33" s="10">
        <v>0.1</v>
      </c>
      <c r="I33" s="10"/>
      <c r="J33" s="11">
        <f>SUM(F33:I33)</f>
        <v>1</v>
      </c>
      <c r="L33" s="22"/>
    </row>
    <row r="34" spans="1:12" s="18" customFormat="1" ht="20.25" customHeight="1" x14ac:dyDescent="0.25">
      <c r="A34" s="523"/>
      <c r="B34" s="514"/>
      <c r="C34" s="517"/>
      <c r="D34" s="520"/>
      <c r="E34" s="12"/>
      <c r="F34" s="13"/>
      <c r="G34" s="13"/>
      <c r="H34" s="13"/>
      <c r="I34" s="13"/>
      <c r="J34" s="14"/>
    </row>
    <row r="35" spans="1:12" s="18" customFormat="1" ht="20.25" customHeight="1" thickBot="1" x14ac:dyDescent="0.3">
      <c r="A35" s="524"/>
      <c r="B35" s="515"/>
      <c r="C35" s="518"/>
      <c r="D35" s="521"/>
      <c r="E35" s="15" t="s">
        <v>85</v>
      </c>
      <c r="F35" s="16">
        <f t="shared" ref="F35:J35" ca="1" si="17">$C33*F33</f>
        <v>0</v>
      </c>
      <c r="G35" s="16">
        <f t="shared" ca="1" si="17"/>
        <v>3025.6470319589998</v>
      </c>
      <c r="H35" s="16">
        <f t="shared" ref="H35:I35" ca="1" si="18">$C33*H33</f>
        <v>336.18300355099996</v>
      </c>
      <c r="I35" s="16">
        <f t="shared" ca="1" si="18"/>
        <v>0</v>
      </c>
      <c r="J35" s="17">
        <f t="shared" ca="1" si="17"/>
        <v>3361.8300355099996</v>
      </c>
      <c r="L35" s="23"/>
    </row>
    <row r="36" spans="1:12" s="18" customFormat="1" ht="20.25" customHeight="1" x14ac:dyDescent="0.25">
      <c r="A36" s="522" t="s">
        <v>149</v>
      </c>
      <c r="B36" s="513" t="str">
        <f>'Orçamento '!$D$84</f>
        <v xml:space="preserve">CABOS, FIAÇÕES E ACESSÓRIOS </v>
      </c>
      <c r="C36" s="516">
        <f ca="1">'Orçamento '!$J$84</f>
        <v>14051.326016000003</v>
      </c>
      <c r="D36" s="519">
        <f ca="1">C36/$C$111</f>
        <v>1.1803400253129728E-2</v>
      </c>
      <c r="E36" s="9" t="s">
        <v>75</v>
      </c>
      <c r="F36" s="10"/>
      <c r="G36" s="10">
        <v>0.8</v>
      </c>
      <c r="H36" s="10">
        <v>0.2</v>
      </c>
      <c r="I36" s="10"/>
      <c r="J36" s="11">
        <f>SUM(F36:I36)</f>
        <v>1</v>
      </c>
      <c r="L36" s="22"/>
    </row>
    <row r="37" spans="1:12" s="18" customFormat="1" ht="20.25" customHeight="1" x14ac:dyDescent="0.25">
      <c r="A37" s="523"/>
      <c r="B37" s="514"/>
      <c r="C37" s="517"/>
      <c r="D37" s="520"/>
      <c r="E37" s="12"/>
      <c r="F37" s="13"/>
      <c r="G37" s="13"/>
      <c r="H37" s="13"/>
      <c r="I37" s="13"/>
      <c r="J37" s="14"/>
    </row>
    <row r="38" spans="1:12" s="18" customFormat="1" ht="20.25" customHeight="1" thickBot="1" x14ac:dyDescent="0.3">
      <c r="A38" s="524"/>
      <c r="B38" s="515"/>
      <c r="C38" s="518"/>
      <c r="D38" s="521"/>
      <c r="E38" s="15" t="s">
        <v>85</v>
      </c>
      <c r="F38" s="16">
        <f t="shared" ref="F38:J38" ca="1" si="19">$C36*F36</f>
        <v>0</v>
      </c>
      <c r="G38" s="16">
        <f t="shared" ca="1" si="19"/>
        <v>11241.060812800002</v>
      </c>
      <c r="H38" s="16">
        <f t="shared" ref="H38:I38" ca="1" si="20">$C36*H36</f>
        <v>2810.2652032000005</v>
      </c>
      <c r="I38" s="16">
        <f t="shared" ca="1" si="20"/>
        <v>0</v>
      </c>
      <c r="J38" s="17">
        <f t="shared" ca="1" si="19"/>
        <v>14051.326016000003</v>
      </c>
      <c r="L38" s="23"/>
    </row>
    <row r="39" spans="1:12" s="18" customFormat="1" ht="20.25" customHeight="1" x14ac:dyDescent="0.25">
      <c r="A39" s="522" t="s">
        <v>506</v>
      </c>
      <c r="B39" s="513" t="str">
        <f>'Orçamento '!$D$92</f>
        <v>ELETRODUTOS, CAIXAS E ACESSÓRIOS</v>
      </c>
      <c r="C39" s="516">
        <f>'Orçamento '!$J$92</f>
        <v>26329.261938</v>
      </c>
      <c r="D39" s="519">
        <f ca="1">C39/$C$111</f>
        <v>2.2117116681360474E-2</v>
      </c>
      <c r="E39" s="9" t="s">
        <v>75</v>
      </c>
      <c r="F39" s="10"/>
      <c r="G39" s="10">
        <v>0.8</v>
      </c>
      <c r="H39" s="10">
        <v>0.2</v>
      </c>
      <c r="I39" s="10"/>
      <c r="J39" s="11">
        <f>SUM(F39:I39)</f>
        <v>1</v>
      </c>
      <c r="L39" s="22"/>
    </row>
    <row r="40" spans="1:12" s="18" customFormat="1" ht="20.25" customHeight="1" x14ac:dyDescent="0.25">
      <c r="A40" s="523"/>
      <c r="B40" s="514"/>
      <c r="C40" s="517"/>
      <c r="D40" s="520"/>
      <c r="E40" s="12"/>
      <c r="F40" s="13"/>
      <c r="G40" s="13"/>
      <c r="H40" s="13"/>
      <c r="I40" s="13"/>
      <c r="J40" s="14"/>
    </row>
    <row r="41" spans="1:12" s="18" customFormat="1" ht="20.25" customHeight="1" thickBot="1" x14ac:dyDescent="0.3">
      <c r="A41" s="524"/>
      <c r="B41" s="515"/>
      <c r="C41" s="518"/>
      <c r="D41" s="521"/>
      <c r="E41" s="15" t="s">
        <v>85</v>
      </c>
      <c r="F41" s="16">
        <f t="shared" ref="F41:J41" si="21">$C39*F39</f>
        <v>0</v>
      </c>
      <c r="G41" s="16">
        <f t="shared" si="21"/>
        <v>21063.4095504</v>
      </c>
      <c r="H41" s="16">
        <f t="shared" si="21"/>
        <v>5265.8523875999999</v>
      </c>
      <c r="I41" s="16">
        <f t="shared" ref="I41" si="22">$C39*I39</f>
        <v>0</v>
      </c>
      <c r="J41" s="17">
        <f t="shared" si="21"/>
        <v>26329.261938</v>
      </c>
      <c r="L41" s="23"/>
    </row>
    <row r="42" spans="1:12" s="18" customFormat="1" ht="20.25" customHeight="1" x14ac:dyDescent="0.25">
      <c r="A42" s="522" t="s">
        <v>516</v>
      </c>
      <c r="B42" s="513" t="str">
        <f>'Orçamento '!$D$103</f>
        <v>ELETROCALHA E ACESSÓRIOS</v>
      </c>
      <c r="C42" s="516">
        <f>'Orçamento '!$J$103</f>
        <v>14463.425319</v>
      </c>
      <c r="D42" s="519">
        <f ca="1">C42/$C$111</f>
        <v>1.2149572067220867E-2</v>
      </c>
      <c r="E42" s="9" t="s">
        <v>75</v>
      </c>
      <c r="F42" s="10"/>
      <c r="G42" s="10">
        <v>0.8</v>
      </c>
      <c r="H42" s="10">
        <v>0.2</v>
      </c>
      <c r="I42" s="10"/>
      <c r="J42" s="11">
        <f>SUM(F42:I42)</f>
        <v>1</v>
      </c>
      <c r="L42" s="22"/>
    </row>
    <row r="43" spans="1:12" s="18" customFormat="1" ht="20.25" customHeight="1" x14ac:dyDescent="0.25">
      <c r="A43" s="523"/>
      <c r="B43" s="514"/>
      <c r="C43" s="517"/>
      <c r="D43" s="520"/>
      <c r="E43" s="12"/>
      <c r="F43" s="13"/>
      <c r="G43" s="13"/>
      <c r="H43" s="13"/>
      <c r="I43" s="13"/>
      <c r="J43" s="14"/>
    </row>
    <row r="44" spans="1:12" s="18" customFormat="1" ht="20.25" customHeight="1" thickBot="1" x14ac:dyDescent="0.3">
      <c r="A44" s="524"/>
      <c r="B44" s="515"/>
      <c r="C44" s="518"/>
      <c r="D44" s="521"/>
      <c r="E44" s="15" t="s">
        <v>85</v>
      </c>
      <c r="F44" s="16">
        <f t="shared" ref="F44:J44" si="23">$C42*F42</f>
        <v>0</v>
      </c>
      <c r="G44" s="16">
        <f t="shared" si="23"/>
        <v>11570.7402552</v>
      </c>
      <c r="H44" s="16">
        <f t="shared" si="23"/>
        <v>2892.6850638000001</v>
      </c>
      <c r="I44" s="16">
        <f t="shared" ref="I44" si="24">$C42*I42</f>
        <v>0</v>
      </c>
      <c r="J44" s="17">
        <f t="shared" si="23"/>
        <v>14463.425319</v>
      </c>
      <c r="L44" s="23"/>
    </row>
    <row r="45" spans="1:12" s="18" customFormat="1" ht="20.25" customHeight="1" x14ac:dyDescent="0.25">
      <c r="A45" s="522" t="s">
        <v>523</v>
      </c>
      <c r="B45" s="513" t="str">
        <f>'Orçamento '!$D$119</f>
        <v>ACABAMENTOS ELÉTRICOS E LUMINÁRIAS</v>
      </c>
      <c r="C45" s="516">
        <f ca="1">'Orçamento '!$J$119</f>
        <v>31564.458247549996</v>
      </c>
      <c r="D45" s="519">
        <f ca="1">C45/$C$111</f>
        <v>2.6514788287226247E-2</v>
      </c>
      <c r="E45" s="9" t="s">
        <v>75</v>
      </c>
      <c r="F45" s="10"/>
      <c r="G45" s="10"/>
      <c r="H45" s="10">
        <v>0.7</v>
      </c>
      <c r="I45" s="10">
        <v>0.3</v>
      </c>
      <c r="J45" s="11">
        <f>SUM(F45:I45)</f>
        <v>1</v>
      </c>
      <c r="L45" s="22"/>
    </row>
    <row r="46" spans="1:12" s="18" customFormat="1" ht="20.25" customHeight="1" x14ac:dyDescent="0.25">
      <c r="A46" s="523"/>
      <c r="B46" s="514"/>
      <c r="C46" s="517"/>
      <c r="D46" s="520"/>
      <c r="E46" s="12"/>
      <c r="F46" s="13"/>
      <c r="G46" s="13"/>
      <c r="H46" s="13"/>
      <c r="I46" s="13"/>
      <c r="J46" s="14"/>
    </row>
    <row r="47" spans="1:12" s="18" customFormat="1" ht="20.25" customHeight="1" thickBot="1" x14ac:dyDescent="0.3">
      <c r="A47" s="524"/>
      <c r="B47" s="515"/>
      <c r="C47" s="518"/>
      <c r="D47" s="521"/>
      <c r="E47" s="15" t="s">
        <v>85</v>
      </c>
      <c r="F47" s="16">
        <f t="shared" ref="F47:J47" ca="1" si="25">$C45*F45</f>
        <v>0</v>
      </c>
      <c r="G47" s="16">
        <f t="shared" ca="1" si="25"/>
        <v>0</v>
      </c>
      <c r="H47" s="16">
        <f t="shared" ca="1" si="25"/>
        <v>22095.120773284994</v>
      </c>
      <c r="I47" s="16">
        <f t="shared" ref="I47" ca="1" si="26">$C45*I45</f>
        <v>9469.3374742649976</v>
      </c>
      <c r="J47" s="17">
        <f t="shared" ca="1" si="25"/>
        <v>31564.458247549996</v>
      </c>
      <c r="L47" s="23"/>
    </row>
    <row r="48" spans="1:12" s="18" customFormat="1" ht="20.25" customHeight="1" x14ac:dyDescent="0.25">
      <c r="A48" s="522" t="s">
        <v>59</v>
      </c>
      <c r="B48" s="513" t="str">
        <f>'Orçamento '!$D$129</f>
        <v>ITENS DIVERSOS</v>
      </c>
      <c r="C48" s="516">
        <f>'Orçamento '!$J$129</f>
        <v>436.47083299999997</v>
      </c>
      <c r="D48" s="519">
        <f ca="1">C48/$C$111</f>
        <v>3.6664439604131531E-4</v>
      </c>
      <c r="E48" s="9" t="s">
        <v>75</v>
      </c>
      <c r="F48" s="10"/>
      <c r="G48" s="10">
        <v>1</v>
      </c>
      <c r="H48" s="10"/>
      <c r="I48" s="10"/>
      <c r="J48" s="11">
        <f>SUM(F48:I48)</f>
        <v>1</v>
      </c>
      <c r="L48" s="22"/>
    </row>
    <row r="49" spans="1:12" s="18" customFormat="1" ht="20.25" customHeight="1" x14ac:dyDescent="0.25">
      <c r="A49" s="523"/>
      <c r="B49" s="514"/>
      <c r="C49" s="517"/>
      <c r="D49" s="520"/>
      <c r="E49" s="12"/>
      <c r="F49" s="13"/>
      <c r="G49" s="13"/>
      <c r="H49" s="13"/>
      <c r="I49" s="13"/>
      <c r="J49" s="14"/>
    </row>
    <row r="50" spans="1:12" s="18" customFormat="1" ht="20.25" customHeight="1" thickBot="1" x14ac:dyDescent="0.3">
      <c r="A50" s="524"/>
      <c r="B50" s="515"/>
      <c r="C50" s="518"/>
      <c r="D50" s="521"/>
      <c r="E50" s="15" t="s">
        <v>85</v>
      </c>
      <c r="F50" s="16">
        <f t="shared" ref="F50:J50" si="27">$C48*F48</f>
        <v>0</v>
      </c>
      <c r="G50" s="16">
        <f t="shared" si="27"/>
        <v>436.47083299999997</v>
      </c>
      <c r="H50" s="16">
        <f t="shared" ref="H50:I50" si="28">$C48*H48</f>
        <v>0</v>
      </c>
      <c r="I50" s="16">
        <f t="shared" si="28"/>
        <v>0</v>
      </c>
      <c r="J50" s="17">
        <f t="shared" si="27"/>
        <v>436.47083299999997</v>
      </c>
      <c r="L50" s="23"/>
    </row>
    <row r="51" spans="1:12" s="18" customFormat="1" ht="20.25" customHeight="1" x14ac:dyDescent="0.25">
      <c r="A51" s="522" t="s">
        <v>154</v>
      </c>
      <c r="B51" s="513" t="str">
        <f>'Orçamento '!$D$132</f>
        <v xml:space="preserve">CABOS, FIAÇÕES E ACESSÓRIOS </v>
      </c>
      <c r="C51" s="516">
        <f ca="1">'Orçamento '!$J$132</f>
        <v>15231.385700999999</v>
      </c>
      <c r="D51" s="519">
        <f ca="1">C51/$C$111</f>
        <v>1.2794674440973404E-2</v>
      </c>
      <c r="E51" s="9" t="s">
        <v>75</v>
      </c>
      <c r="F51" s="10"/>
      <c r="G51" s="10">
        <v>0.8</v>
      </c>
      <c r="H51" s="10">
        <v>0.2</v>
      </c>
      <c r="I51" s="10"/>
      <c r="J51" s="11">
        <f>SUM(F51:I51)</f>
        <v>1</v>
      </c>
      <c r="L51" s="22"/>
    </row>
    <row r="52" spans="1:12" s="18" customFormat="1" ht="20.25" customHeight="1" x14ac:dyDescent="0.25">
      <c r="A52" s="523"/>
      <c r="B52" s="514"/>
      <c r="C52" s="517"/>
      <c r="D52" s="520"/>
      <c r="E52" s="12"/>
      <c r="F52" s="13"/>
      <c r="G52" s="13"/>
      <c r="H52" s="13"/>
      <c r="I52" s="13"/>
      <c r="J52" s="14"/>
    </row>
    <row r="53" spans="1:12" s="18" customFormat="1" ht="20.25" customHeight="1" thickBot="1" x14ac:dyDescent="0.3">
      <c r="A53" s="524"/>
      <c r="B53" s="515"/>
      <c r="C53" s="518"/>
      <c r="D53" s="521"/>
      <c r="E53" s="15" t="s">
        <v>85</v>
      </c>
      <c r="F53" s="16">
        <f t="shared" ref="F53:J53" ca="1" si="29">$C51*F51</f>
        <v>0</v>
      </c>
      <c r="G53" s="16">
        <f t="shared" ca="1" si="29"/>
        <v>12185.108560799999</v>
      </c>
      <c r="H53" s="16">
        <f t="shared" ref="H53:I53" ca="1" si="30">$C51*H51</f>
        <v>3046.2771401999998</v>
      </c>
      <c r="I53" s="16">
        <f t="shared" ca="1" si="30"/>
        <v>0</v>
      </c>
      <c r="J53" s="17">
        <f t="shared" ca="1" si="29"/>
        <v>15231.385700999999</v>
      </c>
      <c r="L53" s="23"/>
    </row>
    <row r="54" spans="1:12" s="18" customFormat="1" ht="20.25" customHeight="1" x14ac:dyDescent="0.25">
      <c r="A54" s="522" t="s">
        <v>531</v>
      </c>
      <c r="B54" s="513" t="str">
        <f>'Orçamento '!$D$141</f>
        <v>ACABAMENTOS ELÉTRICOS</v>
      </c>
      <c r="C54" s="516">
        <f>'Orçamento '!$J$141</f>
        <v>5202.8807630000001</v>
      </c>
      <c r="D54" s="519">
        <f ca="1">C54/$C$111</f>
        <v>4.3705258880955122E-3</v>
      </c>
      <c r="E54" s="9" t="s">
        <v>75</v>
      </c>
      <c r="F54" s="10"/>
      <c r="G54" s="10"/>
      <c r="H54" s="10">
        <v>0.7</v>
      </c>
      <c r="I54" s="10">
        <v>0.3</v>
      </c>
      <c r="J54" s="11">
        <f>SUM(F54:I54)</f>
        <v>1</v>
      </c>
      <c r="L54" s="22"/>
    </row>
    <row r="55" spans="1:12" s="18" customFormat="1" ht="20.25" customHeight="1" x14ac:dyDescent="0.25">
      <c r="A55" s="523"/>
      <c r="B55" s="514"/>
      <c r="C55" s="517"/>
      <c r="D55" s="520"/>
      <c r="E55" s="12"/>
      <c r="F55" s="13"/>
      <c r="G55" s="13"/>
      <c r="H55" s="13"/>
      <c r="I55" s="13"/>
      <c r="J55" s="14"/>
    </row>
    <row r="56" spans="1:12" s="18" customFormat="1" ht="20.25" customHeight="1" thickBot="1" x14ac:dyDescent="0.3">
      <c r="A56" s="524"/>
      <c r="B56" s="515"/>
      <c r="C56" s="518"/>
      <c r="D56" s="521"/>
      <c r="E56" s="15" t="s">
        <v>85</v>
      </c>
      <c r="F56" s="16">
        <f t="shared" ref="F56:J56" si="31">$C54*F54</f>
        <v>0</v>
      </c>
      <c r="G56" s="16">
        <f t="shared" si="31"/>
        <v>0</v>
      </c>
      <c r="H56" s="16">
        <f t="shared" si="31"/>
        <v>3642.0165340999997</v>
      </c>
      <c r="I56" s="16">
        <f t="shared" ref="I56" si="32">$C54*I54</f>
        <v>1560.8642288999999</v>
      </c>
      <c r="J56" s="17">
        <f t="shared" si="31"/>
        <v>5202.8807630000001</v>
      </c>
      <c r="L56" s="23"/>
    </row>
    <row r="57" spans="1:12" s="18" customFormat="1" ht="20.25" customHeight="1" x14ac:dyDescent="0.25">
      <c r="A57" s="522" t="s">
        <v>534</v>
      </c>
      <c r="B57" s="513" t="str">
        <f>'Orçamento '!$D$149</f>
        <v>ELETRODUTOS, CAIXAS E ACESSÓRIOS</v>
      </c>
      <c r="C57" s="516">
        <f>'Orçamento '!$J$149</f>
        <v>37219.502537</v>
      </c>
      <c r="D57" s="519">
        <f ca="1">C57/$C$111</f>
        <v>3.1265140753715767E-2</v>
      </c>
      <c r="E57" s="9" t="s">
        <v>75</v>
      </c>
      <c r="F57" s="10"/>
      <c r="G57" s="10">
        <v>0.8</v>
      </c>
      <c r="H57" s="10">
        <v>0.2</v>
      </c>
      <c r="I57" s="10"/>
      <c r="J57" s="11">
        <f>SUM(F57:I57)</f>
        <v>1</v>
      </c>
      <c r="L57" s="22"/>
    </row>
    <row r="58" spans="1:12" s="18" customFormat="1" ht="20.25" customHeight="1" x14ac:dyDescent="0.25">
      <c r="A58" s="523"/>
      <c r="B58" s="514"/>
      <c r="C58" s="517"/>
      <c r="D58" s="520"/>
      <c r="E58" s="12"/>
      <c r="F58" s="13"/>
      <c r="G58" s="13"/>
      <c r="H58" s="13"/>
      <c r="I58" s="13"/>
      <c r="J58" s="14"/>
    </row>
    <row r="59" spans="1:12" s="18" customFormat="1" ht="20.25" customHeight="1" thickBot="1" x14ac:dyDescent="0.3">
      <c r="A59" s="524"/>
      <c r="B59" s="515"/>
      <c r="C59" s="518"/>
      <c r="D59" s="521"/>
      <c r="E59" s="15" t="s">
        <v>85</v>
      </c>
      <c r="F59" s="16">
        <f t="shared" ref="F59:J59" si="33">$C57*F57</f>
        <v>0</v>
      </c>
      <c r="G59" s="16">
        <f t="shared" si="33"/>
        <v>29775.602029600002</v>
      </c>
      <c r="H59" s="16">
        <f t="shared" si="33"/>
        <v>7443.9005074000006</v>
      </c>
      <c r="I59" s="16">
        <f t="shared" ref="I59" si="34">$C57*I57</f>
        <v>0</v>
      </c>
      <c r="J59" s="17">
        <f t="shared" si="33"/>
        <v>37219.502537</v>
      </c>
      <c r="L59" s="23"/>
    </row>
    <row r="60" spans="1:12" s="18" customFormat="1" ht="20.25" customHeight="1" x14ac:dyDescent="0.25">
      <c r="A60" s="522" t="s">
        <v>540</v>
      </c>
      <c r="B60" s="513" t="str">
        <f>'Orçamento '!$D$160</f>
        <v>ELETROCALHA E ACESSÓRIOS</v>
      </c>
      <c r="C60" s="516">
        <f>'Orçamento '!$J$160</f>
        <v>668.41676599999982</v>
      </c>
      <c r="D60" s="519">
        <f ca="1">C60/$C$111</f>
        <v>5.6148370737514814E-4</v>
      </c>
      <c r="E60" s="9" t="s">
        <v>75</v>
      </c>
      <c r="F60" s="10"/>
      <c r="G60" s="10">
        <v>0.8</v>
      </c>
      <c r="H60" s="10">
        <v>0.2</v>
      </c>
      <c r="I60" s="10"/>
      <c r="J60" s="11">
        <f>SUM(F60:I60)</f>
        <v>1</v>
      </c>
      <c r="L60" s="22"/>
    </row>
    <row r="61" spans="1:12" s="18" customFormat="1" ht="20.25" customHeight="1" x14ac:dyDescent="0.25">
      <c r="A61" s="523"/>
      <c r="B61" s="514"/>
      <c r="C61" s="517"/>
      <c r="D61" s="520"/>
      <c r="E61" s="12"/>
      <c r="F61" s="13"/>
      <c r="G61" s="13"/>
      <c r="H61" s="13"/>
      <c r="I61" s="13"/>
      <c r="J61" s="14"/>
    </row>
    <row r="62" spans="1:12" s="18" customFormat="1" ht="20.25" customHeight="1" thickBot="1" x14ac:dyDescent="0.3">
      <c r="A62" s="524"/>
      <c r="B62" s="515"/>
      <c r="C62" s="518"/>
      <c r="D62" s="521"/>
      <c r="E62" s="15" t="s">
        <v>85</v>
      </c>
      <c r="F62" s="16">
        <f t="shared" ref="F62:J62" si="35">$C60*F60</f>
        <v>0</v>
      </c>
      <c r="G62" s="16">
        <f t="shared" si="35"/>
        <v>534.73341279999988</v>
      </c>
      <c r="H62" s="16">
        <f t="shared" si="35"/>
        <v>133.68335319999997</v>
      </c>
      <c r="I62" s="16">
        <f t="shared" ref="I62" si="36">$C60*I60</f>
        <v>0</v>
      </c>
      <c r="J62" s="17">
        <f t="shared" si="35"/>
        <v>668.41676599999982</v>
      </c>
      <c r="L62" s="23"/>
    </row>
    <row r="63" spans="1:12" s="18" customFormat="1" ht="20.25" customHeight="1" x14ac:dyDescent="0.25">
      <c r="A63" s="522" t="s">
        <v>1053</v>
      </c>
      <c r="B63" s="513" t="str">
        <f>'Orçamento '!D165</f>
        <v>QUADRO DE FORÇA QDCE-04B -4º PAVIMENTO</v>
      </c>
      <c r="C63" s="516">
        <f ca="1">'Orçamento '!J165</f>
        <v>68846.914650999999</v>
      </c>
      <c r="D63" s="519">
        <f ca="1">C63/$C$111</f>
        <v>5.7832811571910649E-2</v>
      </c>
      <c r="E63" s="9" t="s">
        <v>75</v>
      </c>
      <c r="F63" s="10"/>
      <c r="G63" s="10">
        <v>0.8</v>
      </c>
      <c r="H63" s="10">
        <v>0.2</v>
      </c>
      <c r="I63" s="10"/>
      <c r="J63" s="11">
        <f>SUM(F63:I63)</f>
        <v>1</v>
      </c>
      <c r="L63" s="22"/>
    </row>
    <row r="64" spans="1:12" s="18" customFormat="1" ht="20.25" customHeight="1" x14ac:dyDescent="0.25">
      <c r="A64" s="523"/>
      <c r="B64" s="514"/>
      <c r="C64" s="517"/>
      <c r="D64" s="520"/>
      <c r="E64" s="12"/>
      <c r="F64" s="13"/>
      <c r="G64" s="13"/>
      <c r="H64" s="13"/>
      <c r="I64" s="13"/>
      <c r="J64" s="14"/>
    </row>
    <row r="65" spans="1:12" s="18" customFormat="1" ht="20.25" customHeight="1" thickBot="1" x14ac:dyDescent="0.3">
      <c r="A65" s="524"/>
      <c r="B65" s="515"/>
      <c r="C65" s="518"/>
      <c r="D65" s="521"/>
      <c r="E65" s="15" t="s">
        <v>85</v>
      </c>
      <c r="F65" s="16">
        <f t="shared" ref="F65:J65" ca="1" si="37">$C63*F63</f>
        <v>0</v>
      </c>
      <c r="G65" s="16">
        <f t="shared" ca="1" si="37"/>
        <v>55077.531720800005</v>
      </c>
      <c r="H65" s="16">
        <f t="shared" ca="1" si="37"/>
        <v>13769.382930200001</v>
      </c>
      <c r="I65" s="16">
        <f t="shared" ca="1" si="37"/>
        <v>0</v>
      </c>
      <c r="J65" s="17">
        <f t="shared" ca="1" si="37"/>
        <v>68846.914650999999</v>
      </c>
      <c r="L65" s="23"/>
    </row>
    <row r="66" spans="1:12" s="18" customFormat="1" ht="20.25" customHeight="1" x14ac:dyDescent="0.25">
      <c r="A66" s="522" t="s">
        <v>1064</v>
      </c>
      <c r="B66" s="513" t="str">
        <f>'Orçamento '!D176</f>
        <v xml:space="preserve">ALIMENTAÇÃO QUADRO ELÉTRICO QDCE-04B </v>
      </c>
      <c r="C66" s="516">
        <f ca="1">'Orçamento '!J176</f>
        <v>4506.332637999998</v>
      </c>
      <c r="D66" s="519">
        <f ca="1">C66/$C$111</f>
        <v>3.785411265775866E-3</v>
      </c>
      <c r="E66" s="9" t="s">
        <v>75</v>
      </c>
      <c r="F66" s="10"/>
      <c r="G66" s="10">
        <v>0.8</v>
      </c>
      <c r="H66" s="10">
        <v>0.2</v>
      </c>
      <c r="I66" s="10"/>
      <c r="J66" s="11">
        <f>SUM(F66:I66)</f>
        <v>1</v>
      </c>
      <c r="L66" s="22"/>
    </row>
    <row r="67" spans="1:12" s="18" customFormat="1" ht="20.25" customHeight="1" x14ac:dyDescent="0.25">
      <c r="A67" s="523"/>
      <c r="B67" s="514"/>
      <c r="C67" s="517"/>
      <c r="D67" s="520"/>
      <c r="E67" s="12"/>
      <c r="F67" s="13"/>
      <c r="G67" s="13"/>
      <c r="H67" s="13"/>
      <c r="I67" s="13"/>
      <c r="J67" s="14"/>
    </row>
    <row r="68" spans="1:12" s="18" customFormat="1" ht="20.25" customHeight="1" thickBot="1" x14ac:dyDescent="0.3">
      <c r="A68" s="524"/>
      <c r="B68" s="515"/>
      <c r="C68" s="518"/>
      <c r="D68" s="521"/>
      <c r="E68" s="15" t="s">
        <v>85</v>
      </c>
      <c r="F68" s="16">
        <f t="shared" ref="F68:J68" ca="1" si="38">$C66*F66</f>
        <v>0</v>
      </c>
      <c r="G68" s="16">
        <f t="shared" ca="1" si="38"/>
        <v>3605.0661103999987</v>
      </c>
      <c r="H68" s="16">
        <f t="shared" ca="1" si="38"/>
        <v>901.26652759999968</v>
      </c>
      <c r="I68" s="16">
        <f t="shared" ca="1" si="38"/>
        <v>0</v>
      </c>
      <c r="J68" s="17">
        <f t="shared" ca="1" si="38"/>
        <v>4506.332637999998</v>
      </c>
      <c r="L68" s="23"/>
    </row>
    <row r="69" spans="1:12" s="18" customFormat="1" ht="20.25" customHeight="1" x14ac:dyDescent="0.25">
      <c r="A69" s="522" t="s">
        <v>60</v>
      </c>
      <c r="B69" s="513" t="str">
        <f>'Orçamento '!$D$129</f>
        <v>ITENS DIVERSOS</v>
      </c>
      <c r="C69" s="516">
        <f>'Orçamento '!J185</f>
        <v>313.13129600000002</v>
      </c>
      <c r="D69" s="519">
        <f ca="1">C69/$C$111</f>
        <v>2.6303667100604258E-4</v>
      </c>
      <c r="E69" s="9" t="s">
        <v>75</v>
      </c>
      <c r="F69" s="10"/>
      <c r="G69" s="10">
        <v>1</v>
      </c>
      <c r="H69" s="10"/>
      <c r="I69" s="10"/>
      <c r="J69" s="11">
        <f>SUM(F69:I69)</f>
        <v>1</v>
      </c>
      <c r="L69" s="22"/>
    </row>
    <row r="70" spans="1:12" s="18" customFormat="1" ht="20.25" customHeight="1" x14ac:dyDescent="0.25">
      <c r="A70" s="523"/>
      <c r="B70" s="514"/>
      <c r="C70" s="517"/>
      <c r="D70" s="520"/>
      <c r="E70" s="12"/>
      <c r="F70" s="13"/>
      <c r="G70" s="13"/>
      <c r="H70" s="13"/>
      <c r="I70" s="13"/>
      <c r="J70" s="14"/>
    </row>
    <row r="71" spans="1:12" s="18" customFormat="1" ht="20.25" customHeight="1" thickBot="1" x14ac:dyDescent="0.3">
      <c r="A71" s="524"/>
      <c r="B71" s="515"/>
      <c r="C71" s="518"/>
      <c r="D71" s="521"/>
      <c r="E71" s="15" t="s">
        <v>85</v>
      </c>
      <c r="F71" s="16">
        <f t="shared" ref="F71:J71" si="39">$C69*F69</f>
        <v>0</v>
      </c>
      <c r="G71" s="16">
        <f t="shared" si="39"/>
        <v>313.13129600000002</v>
      </c>
      <c r="H71" s="16">
        <f t="shared" si="39"/>
        <v>0</v>
      </c>
      <c r="I71" s="16">
        <f t="shared" si="39"/>
        <v>0</v>
      </c>
      <c r="J71" s="17">
        <f t="shared" si="39"/>
        <v>313.13129600000002</v>
      </c>
      <c r="L71" s="23"/>
    </row>
    <row r="72" spans="1:12" s="18" customFormat="1" ht="20.25" customHeight="1" x14ac:dyDescent="0.25">
      <c r="A72" s="522" t="s">
        <v>61</v>
      </c>
      <c r="B72" s="513" t="str">
        <f>'Orçamento '!$D$187</f>
        <v xml:space="preserve">RACK E COMPONENTES </v>
      </c>
      <c r="C72" s="516">
        <f ca="1">'Orçamento '!$J$187</f>
        <v>32162.25493333333</v>
      </c>
      <c r="D72" s="519">
        <f ca="1">C72/$C$111</f>
        <v>2.7016949687812961E-2</v>
      </c>
      <c r="E72" s="9" t="s">
        <v>75</v>
      </c>
      <c r="F72" s="10"/>
      <c r="G72" s="10">
        <v>1</v>
      </c>
      <c r="H72" s="10"/>
      <c r="I72" s="10"/>
      <c r="J72" s="11">
        <f>SUM(F72:I72)</f>
        <v>1</v>
      </c>
      <c r="L72" s="22"/>
    </row>
    <row r="73" spans="1:12" s="18" customFormat="1" ht="20.25" customHeight="1" x14ac:dyDescent="0.25">
      <c r="A73" s="523"/>
      <c r="B73" s="514"/>
      <c r="C73" s="517"/>
      <c r="D73" s="520"/>
      <c r="E73" s="12"/>
      <c r="F73" s="13"/>
      <c r="G73" s="13"/>
      <c r="H73" s="13"/>
      <c r="I73" s="13"/>
      <c r="J73" s="14"/>
    </row>
    <row r="74" spans="1:12" s="18" customFormat="1" ht="20.25" customHeight="1" thickBot="1" x14ac:dyDescent="0.3">
      <c r="A74" s="524"/>
      <c r="B74" s="515"/>
      <c r="C74" s="518"/>
      <c r="D74" s="521"/>
      <c r="E74" s="15" t="s">
        <v>85</v>
      </c>
      <c r="F74" s="16">
        <f t="shared" ref="F74:J74" ca="1" si="40">$C72*F72</f>
        <v>0</v>
      </c>
      <c r="G74" s="16">
        <f t="shared" ca="1" si="40"/>
        <v>32162.25493333333</v>
      </c>
      <c r="H74" s="16">
        <f t="shared" ca="1" si="40"/>
        <v>0</v>
      </c>
      <c r="I74" s="16">
        <f t="shared" ref="I74" ca="1" si="41">$C72*I72</f>
        <v>0</v>
      </c>
      <c r="J74" s="17">
        <f t="shared" ca="1" si="40"/>
        <v>32162.25493333333</v>
      </c>
      <c r="L74" s="23"/>
    </row>
    <row r="75" spans="1:12" s="18" customFormat="1" ht="20.25" customHeight="1" x14ac:dyDescent="0.25">
      <c r="A75" s="522" t="s">
        <v>62</v>
      </c>
      <c r="B75" s="513" t="str">
        <f>'Orçamento '!$D$205</f>
        <v>CABOS, TOMADAS E ACESSÓRIOS</v>
      </c>
      <c r="C75" s="516">
        <f>'Orçamento '!$J$205</f>
        <v>60845.925056999986</v>
      </c>
      <c r="D75" s="519">
        <f ca="1">C75/$C$111</f>
        <v>5.1111817233613167E-2</v>
      </c>
      <c r="E75" s="9" t="s">
        <v>75</v>
      </c>
      <c r="F75" s="10"/>
      <c r="G75" s="10">
        <v>0.8</v>
      </c>
      <c r="H75" s="10">
        <v>0.2</v>
      </c>
      <c r="I75" s="10"/>
      <c r="J75" s="11">
        <f>SUM(F75:I75)</f>
        <v>1</v>
      </c>
      <c r="L75" s="22"/>
    </row>
    <row r="76" spans="1:12" s="18" customFormat="1" ht="20.25" customHeight="1" x14ac:dyDescent="0.25">
      <c r="A76" s="523"/>
      <c r="B76" s="514"/>
      <c r="C76" s="517"/>
      <c r="D76" s="520"/>
      <c r="E76" s="12"/>
      <c r="F76" s="13"/>
      <c r="G76" s="13"/>
      <c r="H76" s="13"/>
      <c r="I76" s="13"/>
      <c r="J76" s="14"/>
    </row>
    <row r="77" spans="1:12" s="18" customFormat="1" ht="20.25" customHeight="1" thickBot="1" x14ac:dyDescent="0.3">
      <c r="A77" s="524"/>
      <c r="B77" s="515"/>
      <c r="C77" s="518"/>
      <c r="D77" s="521"/>
      <c r="E77" s="15" t="s">
        <v>85</v>
      </c>
      <c r="F77" s="16">
        <f t="shared" ref="F77:J77" si="42">$C75*F75</f>
        <v>0</v>
      </c>
      <c r="G77" s="16">
        <f t="shared" si="42"/>
        <v>48676.740045599989</v>
      </c>
      <c r="H77" s="16">
        <f t="shared" si="42"/>
        <v>12169.185011399997</v>
      </c>
      <c r="I77" s="16">
        <f t="shared" ref="I77" si="43">$C75*I75</f>
        <v>0</v>
      </c>
      <c r="J77" s="17">
        <f t="shared" si="42"/>
        <v>60845.925056999986</v>
      </c>
      <c r="L77" s="23"/>
    </row>
    <row r="78" spans="1:12" s="18" customFormat="1" ht="20.25" customHeight="1" x14ac:dyDescent="0.25">
      <c r="A78" s="522" t="s">
        <v>63</v>
      </c>
      <c r="B78" s="513" t="str">
        <f>'Orçamento '!$D$209</f>
        <v>CERTIFICAÇÃO E TESTES</v>
      </c>
      <c r="C78" s="516">
        <f>'Orçamento '!$J$209</f>
        <v>2271.7695119999998</v>
      </c>
      <c r="D78" s="519">
        <f ca="1">C78/$C$111</f>
        <v>1.9083326941855784E-3</v>
      </c>
      <c r="E78" s="9" t="s">
        <v>75</v>
      </c>
      <c r="F78" s="10"/>
      <c r="G78" s="10"/>
      <c r="H78" s="10">
        <v>1</v>
      </c>
      <c r="I78" s="10"/>
      <c r="J78" s="11">
        <f>SUM(F78:I78)</f>
        <v>1</v>
      </c>
      <c r="L78" s="22"/>
    </row>
    <row r="79" spans="1:12" s="18" customFormat="1" ht="20.25" customHeight="1" x14ac:dyDescent="0.25">
      <c r="A79" s="523"/>
      <c r="B79" s="514"/>
      <c r="C79" s="517"/>
      <c r="D79" s="520"/>
      <c r="E79" s="12"/>
      <c r="F79" s="13"/>
      <c r="G79" s="13"/>
      <c r="H79" s="13"/>
      <c r="I79" s="13"/>
      <c r="J79" s="14"/>
    </row>
    <row r="80" spans="1:12" s="18" customFormat="1" ht="20.25" customHeight="1" thickBot="1" x14ac:dyDescent="0.3">
      <c r="A80" s="524"/>
      <c r="B80" s="515"/>
      <c r="C80" s="518"/>
      <c r="D80" s="521"/>
      <c r="E80" s="15" t="s">
        <v>85</v>
      </c>
      <c r="F80" s="16">
        <f t="shared" ref="F80:J80" si="44">$C78*F78</f>
        <v>0</v>
      </c>
      <c r="G80" s="16">
        <f t="shared" si="44"/>
        <v>0</v>
      </c>
      <c r="H80" s="16">
        <f t="shared" si="44"/>
        <v>2271.7695119999998</v>
      </c>
      <c r="I80" s="16">
        <f t="shared" ref="I80" si="45">$C78*I78</f>
        <v>0</v>
      </c>
      <c r="J80" s="17">
        <f t="shared" si="44"/>
        <v>2271.7695119999998</v>
      </c>
      <c r="L80" s="23"/>
    </row>
    <row r="81" spans="1:12" s="18" customFormat="1" ht="20.25" customHeight="1" x14ac:dyDescent="0.25">
      <c r="A81" s="522" t="s">
        <v>64</v>
      </c>
      <c r="B81" s="513" t="str">
        <f>'Orçamento '!$D$211</f>
        <v>ELETRODUTOS, CAIXAS E ACESSÓRIOS</v>
      </c>
      <c r="C81" s="516">
        <f>'Orçamento '!$J$211</f>
        <v>28258.304053799995</v>
      </c>
      <c r="D81" s="519">
        <f ca="1">C81/$C$111</f>
        <v>2.3737551377132574E-2</v>
      </c>
      <c r="E81" s="9" t="s">
        <v>75</v>
      </c>
      <c r="F81" s="10"/>
      <c r="G81" s="10">
        <v>0.8</v>
      </c>
      <c r="H81" s="10">
        <v>0.2</v>
      </c>
      <c r="I81" s="10"/>
      <c r="J81" s="11">
        <f>SUM(F81:I81)</f>
        <v>1</v>
      </c>
      <c r="L81" s="22"/>
    </row>
    <row r="82" spans="1:12" s="18" customFormat="1" ht="20.25" customHeight="1" x14ac:dyDescent="0.25">
      <c r="A82" s="523"/>
      <c r="B82" s="514"/>
      <c r="C82" s="517"/>
      <c r="D82" s="520"/>
      <c r="E82" s="12"/>
      <c r="F82" s="13"/>
      <c r="G82" s="13"/>
      <c r="H82" s="13"/>
      <c r="I82" s="13"/>
      <c r="J82" s="14"/>
    </row>
    <row r="83" spans="1:12" s="18" customFormat="1" ht="20.25" customHeight="1" thickBot="1" x14ac:dyDescent="0.3">
      <c r="A83" s="524"/>
      <c r="B83" s="515"/>
      <c r="C83" s="518"/>
      <c r="D83" s="521"/>
      <c r="E83" s="15" t="s">
        <v>85</v>
      </c>
      <c r="F83" s="16">
        <f t="shared" ref="F83:J83" si="46">$C81*F81</f>
        <v>0</v>
      </c>
      <c r="G83" s="16">
        <f t="shared" si="46"/>
        <v>22606.643243039998</v>
      </c>
      <c r="H83" s="16">
        <f t="shared" si="46"/>
        <v>5651.6608107599995</v>
      </c>
      <c r="I83" s="16">
        <f t="shared" ref="I83" si="47">$C81*I81</f>
        <v>0</v>
      </c>
      <c r="J83" s="17">
        <f t="shared" si="46"/>
        <v>28258.304053799995</v>
      </c>
      <c r="L83" s="23"/>
    </row>
    <row r="84" spans="1:12" s="18" customFormat="1" ht="20.25" customHeight="1" x14ac:dyDescent="0.25">
      <c r="A84" s="522" t="s">
        <v>708</v>
      </c>
      <c r="B84" s="513" t="str">
        <f>'Orçamento '!$D$227</f>
        <v>ELETROCALHA E ACESSÓRIOS</v>
      </c>
      <c r="C84" s="516">
        <f>'Orçamento '!$J$227</f>
        <v>12678.376080999999</v>
      </c>
      <c r="D84" s="519">
        <f ca="1">C84/$C$111</f>
        <v>1.0650094323720603E-2</v>
      </c>
      <c r="E84" s="9" t="s">
        <v>75</v>
      </c>
      <c r="F84" s="10"/>
      <c r="G84" s="10">
        <v>0.8</v>
      </c>
      <c r="H84" s="10">
        <v>0.2</v>
      </c>
      <c r="I84" s="10"/>
      <c r="J84" s="11">
        <f>SUM(F84:I84)</f>
        <v>1</v>
      </c>
      <c r="L84" s="22"/>
    </row>
    <row r="85" spans="1:12" s="18" customFormat="1" ht="20.25" customHeight="1" x14ac:dyDescent="0.25">
      <c r="A85" s="523"/>
      <c r="B85" s="514"/>
      <c r="C85" s="517"/>
      <c r="D85" s="520"/>
      <c r="E85" s="12"/>
      <c r="F85" s="13"/>
      <c r="G85" s="13"/>
      <c r="H85" s="13"/>
      <c r="I85" s="13"/>
      <c r="J85" s="14"/>
    </row>
    <row r="86" spans="1:12" s="18" customFormat="1" ht="20.25" customHeight="1" thickBot="1" x14ac:dyDescent="0.3">
      <c r="A86" s="524"/>
      <c r="B86" s="515"/>
      <c r="C86" s="518"/>
      <c r="D86" s="521"/>
      <c r="E86" s="15" t="s">
        <v>85</v>
      </c>
      <c r="F86" s="16">
        <f t="shared" ref="F86:J86" si="48">$C84*F84</f>
        <v>0</v>
      </c>
      <c r="G86" s="16">
        <f t="shared" si="48"/>
        <v>10142.700864799999</v>
      </c>
      <c r="H86" s="16">
        <f t="shared" si="48"/>
        <v>2535.6752161999998</v>
      </c>
      <c r="I86" s="16">
        <f t="shared" ref="I86" si="49">$C84*I84</f>
        <v>0</v>
      </c>
      <c r="J86" s="17">
        <f t="shared" si="48"/>
        <v>12678.376080999999</v>
      </c>
      <c r="L86" s="23"/>
    </row>
    <row r="87" spans="1:12" s="18" customFormat="1" ht="20.25" customHeight="1" x14ac:dyDescent="0.25">
      <c r="A87" s="522" t="s">
        <v>88</v>
      </c>
      <c r="B87" s="513" t="str">
        <f>'Orçamento '!$D$240</f>
        <v>SISTEMA PCI</v>
      </c>
      <c r="C87" s="516">
        <f>'Orçamento '!$J$240</f>
        <v>1649.707641</v>
      </c>
      <c r="D87" s="519">
        <f ca="1">C87/$C$111</f>
        <v>1.3857880434342518E-3</v>
      </c>
      <c r="E87" s="9" t="s">
        <v>75</v>
      </c>
      <c r="F87" s="10"/>
      <c r="G87" s="10">
        <v>0.3</v>
      </c>
      <c r="H87" s="10">
        <v>0.7</v>
      </c>
      <c r="I87" s="10"/>
      <c r="J87" s="11">
        <f>SUM(F87:I87)</f>
        <v>1</v>
      </c>
      <c r="L87" s="22"/>
    </row>
    <row r="88" spans="1:12" s="18" customFormat="1" ht="20.25" customHeight="1" x14ac:dyDescent="0.25">
      <c r="A88" s="523"/>
      <c r="B88" s="514"/>
      <c r="C88" s="517"/>
      <c r="D88" s="520"/>
      <c r="E88" s="12"/>
      <c r="F88" s="13"/>
      <c r="G88" s="13"/>
      <c r="H88" s="13"/>
      <c r="I88" s="13"/>
      <c r="J88" s="14"/>
    </row>
    <row r="89" spans="1:12" s="18" customFormat="1" ht="20.25" customHeight="1" thickBot="1" x14ac:dyDescent="0.3">
      <c r="A89" s="524"/>
      <c r="B89" s="515"/>
      <c r="C89" s="518"/>
      <c r="D89" s="521"/>
      <c r="E89" s="15" t="s">
        <v>85</v>
      </c>
      <c r="F89" s="16">
        <f t="shared" ref="F89:J89" si="50">$C87*F87</f>
        <v>0</v>
      </c>
      <c r="G89" s="16">
        <f t="shared" si="50"/>
        <v>494.91229229999999</v>
      </c>
      <c r="H89" s="16">
        <f t="shared" ref="H89:I89" si="51">$C87*H87</f>
        <v>1154.7953487</v>
      </c>
      <c r="I89" s="16">
        <f t="shared" si="51"/>
        <v>0</v>
      </c>
      <c r="J89" s="17">
        <f t="shared" si="50"/>
        <v>1649.707641</v>
      </c>
      <c r="L89" s="23"/>
    </row>
    <row r="90" spans="1:12" s="18" customFormat="1" ht="20.25" customHeight="1" x14ac:dyDescent="0.25">
      <c r="A90" s="522" t="s">
        <v>89</v>
      </c>
      <c r="B90" s="513" t="str">
        <f>'Orçamento '!$D$245</f>
        <v>AR CONDICIONADO</v>
      </c>
      <c r="C90" s="516">
        <f ca="1">'Orçamento '!$J$245</f>
        <v>148121.11871237357</v>
      </c>
      <c r="D90" s="519">
        <f ca="1">C90/$C$111</f>
        <v>0.12442475878167598</v>
      </c>
      <c r="E90" s="9" t="s">
        <v>75</v>
      </c>
      <c r="F90" s="10"/>
      <c r="G90" s="10">
        <v>0.25</v>
      </c>
      <c r="H90" s="10">
        <v>0.75</v>
      </c>
      <c r="I90" s="10"/>
      <c r="J90" s="11">
        <f>SUM(F90:I90)</f>
        <v>1</v>
      </c>
      <c r="L90" s="22"/>
    </row>
    <row r="91" spans="1:12" s="18" customFormat="1" ht="20.25" customHeight="1" x14ac:dyDescent="0.25">
      <c r="A91" s="523"/>
      <c r="B91" s="514"/>
      <c r="C91" s="517"/>
      <c r="D91" s="520"/>
      <c r="E91" s="12"/>
      <c r="F91" s="13"/>
      <c r="G91" s="13"/>
      <c r="H91" s="13"/>
      <c r="I91" s="13"/>
      <c r="J91" s="14"/>
    </row>
    <row r="92" spans="1:12" s="18" customFormat="1" ht="20.25" customHeight="1" thickBot="1" x14ac:dyDescent="0.3">
      <c r="A92" s="524"/>
      <c r="B92" s="515"/>
      <c r="C92" s="518"/>
      <c r="D92" s="521"/>
      <c r="E92" s="15" t="s">
        <v>85</v>
      </c>
      <c r="F92" s="16">
        <f t="shared" ref="F92:J92" ca="1" si="52">$C90*F90</f>
        <v>0</v>
      </c>
      <c r="G92" s="16">
        <f t="shared" ca="1" si="52"/>
        <v>37030.279678093393</v>
      </c>
      <c r="H92" s="16">
        <f t="shared" ref="H92:I92" ca="1" si="53">$C90*H90</f>
        <v>111090.83903428019</v>
      </c>
      <c r="I92" s="16">
        <f t="shared" ca="1" si="53"/>
        <v>0</v>
      </c>
      <c r="J92" s="17">
        <f t="shared" ca="1" si="52"/>
        <v>148121.11871237357</v>
      </c>
      <c r="L92" s="23"/>
    </row>
    <row r="93" spans="1:12" s="18" customFormat="1" ht="20.25" customHeight="1" x14ac:dyDescent="0.25">
      <c r="A93" s="522" t="s">
        <v>246</v>
      </c>
      <c r="B93" s="513" t="str">
        <f>'Orçamento '!$D$266</f>
        <v>ESQUADRIAS</v>
      </c>
      <c r="C93" s="516">
        <f ca="1">'Orçamento '!$J$266</f>
        <v>206771.97982943396</v>
      </c>
      <c r="D93" s="519">
        <f ca="1">C93/$C$111</f>
        <v>0.17369267756507764</v>
      </c>
      <c r="E93" s="9" t="s">
        <v>75</v>
      </c>
      <c r="F93" s="10"/>
      <c r="G93" s="10"/>
      <c r="H93" s="10">
        <v>0.9</v>
      </c>
      <c r="I93" s="10">
        <v>0.1</v>
      </c>
      <c r="J93" s="11">
        <f>SUM(F93:I93)</f>
        <v>1</v>
      </c>
      <c r="L93" s="22"/>
    </row>
    <row r="94" spans="1:12" s="18" customFormat="1" ht="20.25" customHeight="1" x14ac:dyDescent="0.25">
      <c r="A94" s="523"/>
      <c r="B94" s="514"/>
      <c r="C94" s="517"/>
      <c r="D94" s="520"/>
      <c r="E94" s="12"/>
      <c r="F94" s="13"/>
      <c r="G94" s="13"/>
      <c r="H94" s="13"/>
      <c r="I94" s="13"/>
      <c r="J94" s="14"/>
    </row>
    <row r="95" spans="1:12" s="18" customFormat="1" ht="20.25" customHeight="1" thickBot="1" x14ac:dyDescent="0.3">
      <c r="A95" s="524"/>
      <c r="B95" s="515"/>
      <c r="C95" s="518"/>
      <c r="D95" s="521"/>
      <c r="E95" s="15" t="s">
        <v>85</v>
      </c>
      <c r="F95" s="16">
        <f t="shared" ref="F95:J95" ca="1" si="54">$C93*F93</f>
        <v>0</v>
      </c>
      <c r="G95" s="16">
        <f t="shared" ca="1" si="54"/>
        <v>0</v>
      </c>
      <c r="H95" s="16">
        <f t="shared" ref="H95:I95" ca="1" si="55">$C93*H93</f>
        <v>186094.78184649057</v>
      </c>
      <c r="I95" s="16">
        <f t="shared" ca="1" si="55"/>
        <v>20677.197982943399</v>
      </c>
      <c r="J95" s="17">
        <f t="shared" ca="1" si="54"/>
        <v>206771.97982943396</v>
      </c>
      <c r="L95" s="23"/>
    </row>
    <row r="96" spans="1:12" s="18" customFormat="1" ht="20.25" customHeight="1" x14ac:dyDescent="0.25">
      <c r="A96" s="522" t="s">
        <v>247</v>
      </c>
      <c r="B96" s="544" t="str">
        <f>'Orçamento '!$D$279</f>
        <v>PINTURA</v>
      </c>
      <c r="C96" s="516">
        <f>'Orçamento '!$J$279</f>
        <v>46100.222538118891</v>
      </c>
      <c r="D96" s="550">
        <f ca="1">C96/$C$111</f>
        <v>3.872512656500654E-2</v>
      </c>
      <c r="E96" s="9" t="s">
        <v>75</v>
      </c>
      <c r="F96" s="10"/>
      <c r="G96" s="10"/>
      <c r="H96" s="10">
        <v>1</v>
      </c>
      <c r="I96" s="10"/>
      <c r="J96" s="11">
        <f>SUM(F96:I96)</f>
        <v>1</v>
      </c>
    </row>
    <row r="97" spans="1:10" s="18" customFormat="1" ht="20.25" customHeight="1" x14ac:dyDescent="0.25">
      <c r="A97" s="523"/>
      <c r="B97" s="545"/>
      <c r="C97" s="517"/>
      <c r="D97" s="551"/>
      <c r="E97" s="12"/>
      <c r="F97" s="13"/>
      <c r="G97" s="13"/>
      <c r="H97" s="13"/>
      <c r="I97" s="13"/>
      <c r="J97" s="14"/>
    </row>
    <row r="98" spans="1:10" s="18" customFormat="1" ht="20.25" customHeight="1" thickBot="1" x14ac:dyDescent="0.3">
      <c r="A98" s="524"/>
      <c r="B98" s="546"/>
      <c r="C98" s="518"/>
      <c r="D98" s="552"/>
      <c r="E98" s="15" t="s">
        <v>85</v>
      </c>
      <c r="F98" s="16">
        <f t="shared" ref="F98:J98" si="56">$C96*F96</f>
        <v>0</v>
      </c>
      <c r="G98" s="16">
        <f t="shared" si="56"/>
        <v>0</v>
      </c>
      <c r="H98" s="16">
        <f t="shared" ref="H98:I98" si="57">$C96*H96</f>
        <v>46100.222538118891</v>
      </c>
      <c r="I98" s="16">
        <f t="shared" si="57"/>
        <v>0</v>
      </c>
      <c r="J98" s="17">
        <f t="shared" si="56"/>
        <v>46100.222538118891</v>
      </c>
    </row>
    <row r="99" spans="1:10" s="18" customFormat="1" ht="20.25" customHeight="1" x14ac:dyDescent="0.25">
      <c r="A99" s="522" t="s">
        <v>248</v>
      </c>
      <c r="B99" s="543" t="str">
        <f>'Orçamento '!$D$285</f>
        <v xml:space="preserve">PAISAGISMO </v>
      </c>
      <c r="C99" s="516">
        <f ca="1">'Orçamento '!J285</f>
        <v>17407.887811907764</v>
      </c>
      <c r="D99" s="519">
        <f ca="1">C99/$C$111</f>
        <v>1.4622980576463621E-2</v>
      </c>
      <c r="E99" s="9" t="s">
        <v>75</v>
      </c>
      <c r="F99" s="10"/>
      <c r="G99" s="10"/>
      <c r="H99" s="10"/>
      <c r="I99" s="10">
        <v>1</v>
      </c>
      <c r="J99" s="11">
        <f>SUM(F99:I99)</f>
        <v>1</v>
      </c>
    </row>
    <row r="100" spans="1:10" s="18" customFormat="1" ht="20.25" customHeight="1" x14ac:dyDescent="0.25">
      <c r="A100" s="523"/>
      <c r="B100" s="514"/>
      <c r="C100" s="517"/>
      <c r="D100" s="520"/>
      <c r="E100" s="12"/>
      <c r="F100" s="13"/>
      <c r="G100" s="13"/>
      <c r="H100" s="13"/>
      <c r="I100" s="13"/>
      <c r="J100" s="14"/>
    </row>
    <row r="101" spans="1:10" s="18" customFormat="1" ht="20.25" customHeight="1" thickBot="1" x14ac:dyDescent="0.3">
      <c r="A101" s="524"/>
      <c r="B101" s="515"/>
      <c r="C101" s="518"/>
      <c r="D101" s="521"/>
      <c r="E101" s="15" t="s">
        <v>85</v>
      </c>
      <c r="F101" s="16">
        <f t="shared" ref="F101:J101" ca="1" si="58">$C99*F99</f>
        <v>0</v>
      </c>
      <c r="G101" s="16">
        <f t="shared" ca="1" si="58"/>
        <v>0</v>
      </c>
      <c r="H101" s="16">
        <f t="shared" ref="H101:I101" ca="1" si="59">$C99*H99</f>
        <v>0</v>
      </c>
      <c r="I101" s="16">
        <f t="shared" ca="1" si="59"/>
        <v>17407.887811907764</v>
      </c>
      <c r="J101" s="17">
        <f t="shared" ca="1" si="58"/>
        <v>17407.887811907764</v>
      </c>
    </row>
    <row r="102" spans="1:10" s="18" customFormat="1" ht="20.25" customHeight="1" x14ac:dyDescent="0.25">
      <c r="A102" s="522" t="s">
        <v>249</v>
      </c>
      <c r="B102" s="544" t="str">
        <f>'Orçamento '!$D$288</f>
        <v>CORTINAS E MOBILIÁRIOS</v>
      </c>
      <c r="C102" s="516">
        <f ca="1">'Orçamento '!$J$288</f>
        <v>47344.917986</v>
      </c>
      <c r="D102" s="550">
        <f ca="1">C102/$C$111</f>
        <v>3.9770696111102066E-2</v>
      </c>
      <c r="E102" s="9" t="s">
        <v>75</v>
      </c>
      <c r="F102" s="10"/>
      <c r="G102" s="10"/>
      <c r="H102" s="10"/>
      <c r="I102" s="10">
        <v>1</v>
      </c>
      <c r="J102" s="11">
        <f>SUM(F102:I102)</f>
        <v>1</v>
      </c>
    </row>
    <row r="103" spans="1:10" s="18" customFormat="1" ht="20.25" customHeight="1" x14ac:dyDescent="0.25">
      <c r="A103" s="523"/>
      <c r="B103" s="545"/>
      <c r="C103" s="517"/>
      <c r="D103" s="551"/>
      <c r="E103" s="12"/>
      <c r="F103" s="13"/>
      <c r="G103" s="13"/>
      <c r="H103" s="13"/>
      <c r="I103" s="13"/>
      <c r="J103" s="14"/>
    </row>
    <row r="104" spans="1:10" s="18" customFormat="1" ht="20.25" customHeight="1" thickBot="1" x14ac:dyDescent="0.3">
      <c r="A104" s="524"/>
      <c r="B104" s="546"/>
      <c r="C104" s="518"/>
      <c r="D104" s="552"/>
      <c r="E104" s="15" t="s">
        <v>85</v>
      </c>
      <c r="F104" s="16">
        <f t="shared" ref="F104:J104" ca="1" si="60">$C102*F102</f>
        <v>0</v>
      </c>
      <c r="G104" s="16">
        <f t="shared" ca="1" si="60"/>
        <v>0</v>
      </c>
      <c r="H104" s="16">
        <f t="shared" ref="H104:I104" ca="1" si="61">$C102*H102</f>
        <v>0</v>
      </c>
      <c r="I104" s="16">
        <f t="shared" ca="1" si="61"/>
        <v>47344.917986</v>
      </c>
      <c r="J104" s="17">
        <f t="shared" ca="1" si="60"/>
        <v>47344.917986</v>
      </c>
    </row>
    <row r="105" spans="1:10" s="18" customFormat="1" ht="20.25" customHeight="1" x14ac:dyDescent="0.25">
      <c r="A105" s="522" t="s">
        <v>250</v>
      </c>
      <c r="B105" s="544" t="str">
        <f>'Orçamento '!D311</f>
        <v>MANUTENÇÕES HIDROSSANITÁRIAS E COBERTURA</v>
      </c>
      <c r="C105" s="516">
        <f>'Orçamento '!J311</f>
        <v>24185.104635124997</v>
      </c>
      <c r="D105" s="550">
        <f ca="1">C105/$C$111</f>
        <v>2.0315980843882461E-2</v>
      </c>
      <c r="E105" s="9" t="s">
        <v>75</v>
      </c>
      <c r="F105" s="10"/>
      <c r="G105" s="10">
        <v>0.5</v>
      </c>
      <c r="H105" s="10">
        <v>0.5</v>
      </c>
      <c r="I105" s="10"/>
      <c r="J105" s="11">
        <f>SUM(F105:I105)</f>
        <v>1</v>
      </c>
    </row>
    <row r="106" spans="1:10" s="18" customFormat="1" ht="20.25" customHeight="1" x14ac:dyDescent="0.25">
      <c r="A106" s="523"/>
      <c r="B106" s="545"/>
      <c r="C106" s="517"/>
      <c r="D106" s="551"/>
      <c r="E106" s="12"/>
      <c r="F106" s="13"/>
      <c r="G106" s="13"/>
      <c r="H106" s="13"/>
      <c r="I106" s="13"/>
      <c r="J106" s="14"/>
    </row>
    <row r="107" spans="1:10" s="18" customFormat="1" ht="20.25" customHeight="1" thickBot="1" x14ac:dyDescent="0.3">
      <c r="A107" s="524"/>
      <c r="B107" s="546"/>
      <c r="C107" s="518"/>
      <c r="D107" s="552"/>
      <c r="E107" s="15" t="s">
        <v>85</v>
      </c>
      <c r="F107" s="16">
        <f t="shared" ref="F107:J107" si="62">$C105*F105</f>
        <v>0</v>
      </c>
      <c r="G107" s="16">
        <f t="shared" si="62"/>
        <v>12092.552317562499</v>
      </c>
      <c r="H107" s="16">
        <f t="shared" si="62"/>
        <v>12092.552317562499</v>
      </c>
      <c r="I107" s="16">
        <f t="shared" si="62"/>
        <v>0</v>
      </c>
      <c r="J107" s="17">
        <f t="shared" si="62"/>
        <v>24185.104635124997</v>
      </c>
    </row>
    <row r="108" spans="1:10" s="18" customFormat="1" ht="20.25" customHeight="1" x14ac:dyDescent="0.25">
      <c r="A108" s="522" t="s">
        <v>843</v>
      </c>
      <c r="B108" s="543" t="str">
        <f>'Orçamento '!$D$316</f>
        <v xml:space="preserve">LIMPEZA GERAL </v>
      </c>
      <c r="C108" s="516">
        <f ca="1">'Orçamento '!$J$316</f>
        <v>15313.246545882717</v>
      </c>
      <c r="D108" s="519">
        <f ca="1">C108/$C$111</f>
        <v>1.2863439219195036E-2</v>
      </c>
      <c r="E108" s="9" t="s">
        <v>75</v>
      </c>
      <c r="F108" s="10"/>
      <c r="G108" s="10"/>
      <c r="H108" s="10"/>
      <c r="I108" s="10">
        <v>1</v>
      </c>
      <c r="J108" s="11">
        <f>SUM(F108:I108)</f>
        <v>1</v>
      </c>
    </row>
    <row r="109" spans="1:10" s="18" customFormat="1" ht="20.25" customHeight="1" x14ac:dyDescent="0.25">
      <c r="A109" s="523"/>
      <c r="B109" s="514"/>
      <c r="C109" s="517"/>
      <c r="D109" s="520"/>
      <c r="E109" s="12"/>
      <c r="F109" s="13"/>
      <c r="G109" s="13"/>
      <c r="H109" s="13"/>
      <c r="I109" s="13"/>
      <c r="J109" s="14"/>
    </row>
    <row r="110" spans="1:10" s="18" customFormat="1" ht="20.25" customHeight="1" thickBot="1" x14ac:dyDescent="0.3">
      <c r="A110" s="524"/>
      <c r="B110" s="515"/>
      <c r="C110" s="518"/>
      <c r="D110" s="521"/>
      <c r="E110" s="15" t="s">
        <v>85</v>
      </c>
      <c r="F110" s="16">
        <f t="shared" ref="F110:J110" ca="1" si="63">$C108*F108</f>
        <v>0</v>
      </c>
      <c r="G110" s="16">
        <f t="shared" ca="1" si="63"/>
        <v>0</v>
      </c>
      <c r="H110" s="16">
        <f t="shared" ref="H110:I110" ca="1" si="64">$C108*H108</f>
        <v>0</v>
      </c>
      <c r="I110" s="16">
        <f t="shared" ca="1" si="64"/>
        <v>15313.246545882717</v>
      </c>
      <c r="J110" s="17">
        <f t="shared" ca="1" si="63"/>
        <v>15313.246545882717</v>
      </c>
    </row>
    <row r="111" spans="1:10" s="18" customFormat="1" ht="20.25" customHeight="1" thickBot="1" x14ac:dyDescent="0.3">
      <c r="A111" s="24" t="s">
        <v>0</v>
      </c>
      <c r="B111" s="25"/>
      <c r="C111" s="26">
        <f ca="1">SUM(C9:C110)</f>
        <v>1190447.304561601</v>
      </c>
      <c r="D111" s="27">
        <f ca="1">SUM(D9:D110)</f>
        <v>1.0000000000000002</v>
      </c>
      <c r="E111" s="20" t="s">
        <v>85</v>
      </c>
      <c r="F111" s="38">
        <f ca="1">SUM(F$11,F$14,F$17,F$20,F$23,F$26,F$29,F$32,F$35,F$38,F$41,F$44,F$47,F$50,F$53,F$56,F$59,F$62,F$74,F$77,F$80,F$83,F$86,F$89,F$92,F$95,F$98,F$101,F$104,F$110,F71)</f>
        <v>29839.515933431481</v>
      </c>
      <c r="G111" s="38">
        <f ca="1">SUM(G$11,G$14,G$17,G$20,G$23,G$26,G$29,G$32,G$35,G$38,G$41,G$44,G$47,G$50,G$53,G$56,G$59,G$62,G$74,G$77,G$80,G$83,G$86,G$89,G$92,G$95,G$98,G$101,G$104,G$110,G71)</f>
        <v>393837.75157410884</v>
      </c>
      <c r="H111" s="38">
        <f ca="1">SUM(H$11,H$14,H$17,H$20,H$23,H$26,H$29,H$32,H$35,H$38,H$41,H$44,H$47,H$50,H$53,H$56,H$59,H$62,H$74,H$77,H$80,H$83,H$86,H$89,H$92,H$95,H$98,H$101,H$104,H$110,H71)</f>
        <v>533484.46456873184</v>
      </c>
      <c r="I111" s="38">
        <f ca="1">SUM(I$11,I$14,I$17,I$20,I$23,I$26,I$29,I$32,I$35,I$38,I$41,I$44,I$47,I$50,I$53,I$56,I$59,I$62,I$74,I$77,I$80,I$83,I$86,I$89,I$92,I$95,I$98,I$101,I$104,I$110,I71)</f>
        <v>135747.22056120393</v>
      </c>
      <c r="J111" s="42">
        <f ca="1">SUM(J$11,J$14,J$17,J$20,J$23,J$26,J$29,J$32,J$35,J$38,J$41,J$44,J$47,J$50,J$53,J$56,J$59,J$62,J$74,J$77,J$80,J$83,J$86,J$89,J$92,J$95,J$98,J$101,J$104,J$110,J107,J71,J65,J68)</f>
        <v>1190447.3045616008</v>
      </c>
    </row>
    <row r="112" spans="1:10" s="18" customFormat="1" ht="20.25" customHeight="1" thickBot="1" x14ac:dyDescent="0.3">
      <c r="A112" s="547" t="s">
        <v>86</v>
      </c>
      <c r="B112" s="548"/>
      <c r="C112" s="548"/>
      <c r="D112" s="549"/>
      <c r="E112" s="21" t="s">
        <v>85</v>
      </c>
      <c r="F112" s="17">
        <f ca="1">F111</f>
        <v>29839.515933431481</v>
      </c>
      <c r="G112" s="17">
        <f t="shared" ref="G112" ca="1" si="65">F112+G111</f>
        <v>423677.26750754029</v>
      </c>
      <c r="H112" s="17">
        <f ca="1">G112+H111</f>
        <v>957161.73207627214</v>
      </c>
      <c r="I112" s="17">
        <f ca="1">H112+I111</f>
        <v>1092908.9526374761</v>
      </c>
      <c r="J112" s="39"/>
    </row>
    <row r="114" spans="3:13" x14ac:dyDescent="0.25">
      <c r="C114" s="68" t="b">
        <f ca="1">C111=J115</f>
        <v>1</v>
      </c>
    </row>
    <row r="115" spans="3:13" x14ac:dyDescent="0.25">
      <c r="J115" s="79">
        <f ca="1">'Orçamento '!J323</f>
        <v>1190447.3045616013</v>
      </c>
    </row>
    <row r="116" spans="3:13" x14ac:dyDescent="0.25">
      <c r="M116" s="79">
        <f ca="1">'Orçamento '!J323</f>
        <v>1190447.3045616013</v>
      </c>
    </row>
    <row r="118" spans="3:13" x14ac:dyDescent="0.25">
      <c r="I118" s="68" t="b">
        <f ca="1">C111=J115</f>
        <v>1</v>
      </c>
    </row>
    <row r="123" spans="3:13" x14ac:dyDescent="0.25">
      <c r="J123" s="68" t="b">
        <f ca="1">J115=J111</f>
        <v>1</v>
      </c>
    </row>
  </sheetData>
  <mergeCells count="147">
    <mergeCell ref="A105:A107"/>
    <mergeCell ref="B105:B107"/>
    <mergeCell ref="C105:C107"/>
    <mergeCell ref="D105:D107"/>
    <mergeCell ref="A102:A104"/>
    <mergeCell ref="B102:B104"/>
    <mergeCell ref="C102:C104"/>
    <mergeCell ref="D102:D104"/>
    <mergeCell ref="A90:A92"/>
    <mergeCell ref="B90:B92"/>
    <mergeCell ref="A24:A26"/>
    <mergeCell ref="B24:B26"/>
    <mergeCell ref="C24:C26"/>
    <mergeCell ref="D24:D26"/>
    <mergeCell ref="C90:C92"/>
    <mergeCell ref="D90:D92"/>
    <mergeCell ref="D96:D98"/>
    <mergeCell ref="A99:A101"/>
    <mergeCell ref="B99:B101"/>
    <mergeCell ref="C99:C101"/>
    <mergeCell ref="D99:D101"/>
    <mergeCell ref="A45:A47"/>
    <mergeCell ref="B45:B47"/>
    <mergeCell ref="C45:C47"/>
    <mergeCell ref="D45:D47"/>
    <mergeCell ref="A54:A56"/>
    <mergeCell ref="B54:B56"/>
    <mergeCell ref="C54:C56"/>
    <mergeCell ref="D54:D56"/>
    <mergeCell ref="A39:A41"/>
    <mergeCell ref="B39:B41"/>
    <mergeCell ref="C39:C41"/>
    <mergeCell ref="D39:D41"/>
    <mergeCell ref="A42:A44"/>
    <mergeCell ref="B4:I4"/>
    <mergeCell ref="B3:I3"/>
    <mergeCell ref="B2:I2"/>
    <mergeCell ref="A1:J1"/>
    <mergeCell ref="A112:D112"/>
    <mergeCell ref="A93:A95"/>
    <mergeCell ref="B93:B95"/>
    <mergeCell ref="C93:C95"/>
    <mergeCell ref="D93:D95"/>
    <mergeCell ref="A48:A50"/>
    <mergeCell ref="B48:B50"/>
    <mergeCell ref="C48:C50"/>
    <mergeCell ref="D48:D50"/>
    <mergeCell ref="A51:A53"/>
    <mergeCell ref="B51:B53"/>
    <mergeCell ref="C51:C53"/>
    <mergeCell ref="D51:D53"/>
    <mergeCell ref="A87:A89"/>
    <mergeCell ref="B87:B89"/>
    <mergeCell ref="C87:C89"/>
    <mergeCell ref="D87:D89"/>
    <mergeCell ref="A108:A110"/>
    <mergeCell ref="B108:B110"/>
    <mergeCell ref="C108:C110"/>
    <mergeCell ref="D108:D110"/>
    <mergeCell ref="A96:A98"/>
    <mergeCell ref="B96:B98"/>
    <mergeCell ref="C96:C98"/>
    <mergeCell ref="A21:A23"/>
    <mergeCell ref="B21:B23"/>
    <mergeCell ref="C21:C23"/>
    <mergeCell ref="D21:D23"/>
    <mergeCell ref="A27:A29"/>
    <mergeCell ref="B27:B29"/>
    <mergeCell ref="C27:C29"/>
    <mergeCell ref="D27:D29"/>
    <mergeCell ref="A36:A38"/>
    <mergeCell ref="B36:B38"/>
    <mergeCell ref="C36:C38"/>
    <mergeCell ref="D36:D38"/>
    <mergeCell ref="A33:A35"/>
    <mergeCell ref="A30:A32"/>
    <mergeCell ref="B33:B35"/>
    <mergeCell ref="C33:C35"/>
    <mergeCell ref="D33:D35"/>
    <mergeCell ref="B30:B32"/>
    <mergeCell ref="C30:C32"/>
    <mergeCell ref="D30:D32"/>
    <mergeCell ref="A5:J5"/>
    <mergeCell ref="A6:J6"/>
    <mergeCell ref="A7:A8"/>
    <mergeCell ref="B7:B8"/>
    <mergeCell ref="C7:E8"/>
    <mergeCell ref="F7:J7"/>
    <mergeCell ref="A18:A20"/>
    <mergeCell ref="B18:B20"/>
    <mergeCell ref="C18:C20"/>
    <mergeCell ref="D18:D20"/>
    <mergeCell ref="A15:A17"/>
    <mergeCell ref="B15:B17"/>
    <mergeCell ref="C15:C17"/>
    <mergeCell ref="D15:D17"/>
    <mergeCell ref="A9:A11"/>
    <mergeCell ref="B9:B11"/>
    <mergeCell ref="C9:C11"/>
    <mergeCell ref="D9:D11"/>
    <mergeCell ref="A12:A14"/>
    <mergeCell ref="B12:B14"/>
    <mergeCell ref="C12:C14"/>
    <mergeCell ref="D12:D14"/>
    <mergeCell ref="B42:B44"/>
    <mergeCell ref="C42:C44"/>
    <mergeCell ref="D42:D44"/>
    <mergeCell ref="A72:A74"/>
    <mergeCell ref="B72:B74"/>
    <mergeCell ref="C72:C74"/>
    <mergeCell ref="D72:D74"/>
    <mergeCell ref="A75:A77"/>
    <mergeCell ref="B75:B77"/>
    <mergeCell ref="C75:C77"/>
    <mergeCell ref="D75:D77"/>
    <mergeCell ref="A57:A59"/>
    <mergeCell ref="B57:B59"/>
    <mergeCell ref="C57:C59"/>
    <mergeCell ref="D57:D59"/>
    <mergeCell ref="A60:A62"/>
    <mergeCell ref="B60:B62"/>
    <mergeCell ref="C60:C62"/>
    <mergeCell ref="D60:D62"/>
    <mergeCell ref="A69:A71"/>
    <mergeCell ref="B69:B71"/>
    <mergeCell ref="C69:C71"/>
    <mergeCell ref="D69:D71"/>
    <mergeCell ref="A63:A65"/>
    <mergeCell ref="B63:B65"/>
    <mergeCell ref="C63:C65"/>
    <mergeCell ref="D63:D65"/>
    <mergeCell ref="A66:A68"/>
    <mergeCell ref="B66:B68"/>
    <mergeCell ref="C66:C68"/>
    <mergeCell ref="D66:D68"/>
    <mergeCell ref="A84:A86"/>
    <mergeCell ref="B84:B86"/>
    <mergeCell ref="C84:C86"/>
    <mergeCell ref="D84:D86"/>
    <mergeCell ref="A78:A80"/>
    <mergeCell ref="B78:B80"/>
    <mergeCell ref="C78:C80"/>
    <mergeCell ref="D78:D80"/>
    <mergeCell ref="A81:A83"/>
    <mergeCell ref="B81:B83"/>
    <mergeCell ref="C81:C83"/>
    <mergeCell ref="D81:D83"/>
  </mergeCells>
  <phoneticPr fontId="15" type="noConversion"/>
  <conditionalFormatting sqref="F10:I10 F13:I13 F16:I16 F19:I19 F22:I22 F25:I25 F28:I28 F31:I31 F34:I34 F37:I37 F40:I40 F43:I43 F46:I46 F49:I49 F52:I52 F55:I55 F58:I58 F61:I61 F73:I73 F76:I76 F79:I79 F82:I82 F85:I85 F88:I88 F91:I91 F94:I94 F97:I97 F100:I100 F103:I103 F109:I109">
    <cfRule type="expression" dxfId="38" priority="101">
      <formula>F11&lt;&gt;0</formula>
    </cfRule>
  </conditionalFormatting>
  <conditionalFormatting sqref="F70:I70">
    <cfRule type="expression" dxfId="37" priority="7">
      <formula>F71&lt;&gt;0</formula>
    </cfRule>
  </conditionalFormatting>
  <conditionalFormatting sqref="F106:I106">
    <cfRule type="expression" dxfId="36" priority="5">
      <formula>F107&lt;&gt;0</formula>
    </cfRule>
  </conditionalFormatting>
  <conditionalFormatting sqref="J10">
    <cfRule type="expression" dxfId="35" priority="158">
      <formula>J9=100%</formula>
    </cfRule>
  </conditionalFormatting>
  <conditionalFormatting sqref="J13">
    <cfRule type="expression" dxfId="34" priority="129">
      <formula>J12=100%</formula>
    </cfRule>
  </conditionalFormatting>
  <conditionalFormatting sqref="J16">
    <cfRule type="expression" dxfId="33" priority="132">
      <formula>J15=100%</formula>
    </cfRule>
  </conditionalFormatting>
  <conditionalFormatting sqref="J19">
    <cfRule type="expression" dxfId="32" priority="135">
      <formula>J18=100%</formula>
    </cfRule>
  </conditionalFormatting>
  <conditionalFormatting sqref="J22">
    <cfRule type="expression" dxfId="31" priority="138">
      <formula>J21=100%</formula>
    </cfRule>
  </conditionalFormatting>
  <conditionalFormatting sqref="J25">
    <cfRule type="expression" dxfId="30" priority="141">
      <formula>J24=100%</formula>
    </cfRule>
  </conditionalFormatting>
  <conditionalFormatting sqref="J28">
    <cfRule type="expression" dxfId="29" priority="144">
      <formula>J27=100%</formula>
    </cfRule>
  </conditionalFormatting>
  <conditionalFormatting sqref="J31">
    <cfRule type="expression" dxfId="28" priority="78">
      <formula>J30=100%</formula>
    </cfRule>
  </conditionalFormatting>
  <conditionalFormatting sqref="J34">
    <cfRule type="expression" dxfId="27" priority="84">
      <formula>J33=100%</formula>
    </cfRule>
  </conditionalFormatting>
  <conditionalFormatting sqref="J37">
    <cfRule type="expression" dxfId="26" priority="147">
      <formula>J36=100%</formula>
    </cfRule>
  </conditionalFormatting>
  <conditionalFormatting sqref="J40">
    <cfRule type="expression" dxfId="25" priority="27">
      <formula>J39=100%</formula>
    </cfRule>
  </conditionalFormatting>
  <conditionalFormatting sqref="J43">
    <cfRule type="expression" dxfId="24" priority="29">
      <formula>J42=100%</formula>
    </cfRule>
  </conditionalFormatting>
  <conditionalFormatting sqref="J46">
    <cfRule type="expression" dxfId="23" priority="31">
      <formula>J45=100%</formula>
    </cfRule>
  </conditionalFormatting>
  <conditionalFormatting sqref="J49">
    <cfRule type="expression" dxfId="22" priority="72">
      <formula>J48=100%</formula>
    </cfRule>
  </conditionalFormatting>
  <conditionalFormatting sqref="J52">
    <cfRule type="expression" dxfId="21" priority="66">
      <formula>J51=100%</formula>
    </cfRule>
  </conditionalFormatting>
  <conditionalFormatting sqref="J55">
    <cfRule type="expression" dxfId="20" priority="25">
      <formula>J54=100%</formula>
    </cfRule>
  </conditionalFormatting>
  <conditionalFormatting sqref="J58">
    <cfRule type="expression" dxfId="19" priority="23">
      <formula>J57=100%</formula>
    </cfRule>
  </conditionalFormatting>
  <conditionalFormatting sqref="J61">
    <cfRule type="expression" dxfId="18" priority="21">
      <formula>J60=100%</formula>
    </cfRule>
  </conditionalFormatting>
  <conditionalFormatting sqref="J70">
    <cfRule type="expression" dxfId="17" priority="6">
      <formula>J69=100%</formula>
    </cfRule>
  </conditionalFormatting>
  <conditionalFormatting sqref="J73">
    <cfRule type="expression" dxfId="16" priority="19">
      <formula>J72=100%</formula>
    </cfRule>
  </conditionalFormatting>
  <conditionalFormatting sqref="J76">
    <cfRule type="expression" dxfId="15" priority="17">
      <formula>J75=100%</formula>
    </cfRule>
  </conditionalFormatting>
  <conditionalFormatting sqref="J79">
    <cfRule type="expression" dxfId="14" priority="15">
      <formula>J78=100%</formula>
    </cfRule>
  </conditionalFormatting>
  <conditionalFormatting sqref="J82">
    <cfRule type="expression" dxfId="13" priority="13">
      <formula>J81=100%</formula>
    </cfRule>
  </conditionalFormatting>
  <conditionalFormatting sqref="J85">
    <cfRule type="expression" dxfId="12" priority="11">
      <formula>J84=100%</formula>
    </cfRule>
  </conditionalFormatting>
  <conditionalFormatting sqref="J88">
    <cfRule type="expression" dxfId="11" priority="150">
      <formula>J87=100%</formula>
    </cfRule>
  </conditionalFormatting>
  <conditionalFormatting sqref="J91">
    <cfRule type="expression" dxfId="10" priority="153">
      <formula>J90=100%</formula>
    </cfRule>
  </conditionalFormatting>
  <conditionalFormatting sqref="J94">
    <cfRule type="expression" dxfId="9" priority="156">
      <formula>J93=100%</formula>
    </cfRule>
  </conditionalFormatting>
  <conditionalFormatting sqref="J97">
    <cfRule type="expression" dxfId="8" priority="36">
      <formula>J96=100%</formula>
    </cfRule>
  </conditionalFormatting>
  <conditionalFormatting sqref="J100">
    <cfRule type="expression" dxfId="7" priority="41">
      <formula>J99=100%</formula>
    </cfRule>
  </conditionalFormatting>
  <conditionalFormatting sqref="J103">
    <cfRule type="expression" dxfId="6" priority="46">
      <formula>J102=100%</formula>
    </cfRule>
  </conditionalFormatting>
  <conditionalFormatting sqref="J106">
    <cfRule type="expression" dxfId="5" priority="4">
      <formula>J105=100%</formula>
    </cfRule>
  </conditionalFormatting>
  <conditionalFormatting sqref="J109">
    <cfRule type="expression" dxfId="4" priority="51">
      <formula>J108=100%</formula>
    </cfRule>
  </conditionalFormatting>
  <conditionalFormatting sqref="J112">
    <cfRule type="expression" dxfId="3" priority="191">
      <formula>J111=C111</formula>
    </cfRule>
  </conditionalFormatting>
  <conditionalFormatting sqref="F64:I64 F67:I67">
    <cfRule type="expression" dxfId="2" priority="3">
      <formula>F65&lt;&gt;0</formula>
    </cfRule>
  </conditionalFormatting>
  <conditionalFormatting sqref="J64">
    <cfRule type="expression" dxfId="1" priority="2">
      <formula>J63=100%</formula>
    </cfRule>
  </conditionalFormatting>
  <conditionalFormatting sqref="J67">
    <cfRule type="expression" dxfId="0" priority="1">
      <formula>J66=100%</formula>
    </cfRule>
  </conditionalFormatting>
  <pageMargins left="0.511811024" right="0.511811024" top="0.78740157499999996" bottom="0.78740157499999996" header="0.31496062000000002" footer="0.31496062000000002"/>
  <pageSetup paperSize="9" scale="34"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970C-3AC2-43DC-9D28-3E8FCC7C1734}">
  <sheetPr>
    <pageSetUpPr fitToPage="1"/>
  </sheetPr>
  <dimension ref="A1:AD274"/>
  <sheetViews>
    <sheetView view="pageBreakPreview" zoomScale="55" zoomScaleNormal="55" zoomScaleSheetLayoutView="55" workbookViewId="0">
      <selection sqref="A1:XFD1048576"/>
    </sheetView>
  </sheetViews>
  <sheetFormatPr defaultRowHeight="15" x14ac:dyDescent="0.25"/>
  <cols>
    <col min="1" max="1" width="22.5703125" style="68" customWidth="1"/>
    <col min="2" max="2" width="20.42578125" style="68" customWidth="1"/>
    <col min="3" max="3" width="19.28515625" style="68" customWidth="1"/>
    <col min="4" max="4" width="89" style="68" customWidth="1"/>
    <col min="5" max="5" width="12.5703125" style="68" customWidth="1"/>
    <col min="6" max="6" width="13.28515625" style="68" customWidth="1"/>
    <col min="7" max="7" width="21.5703125" style="68" customWidth="1"/>
    <col min="8" max="8" width="25.42578125" style="68" customWidth="1"/>
    <col min="9" max="9" width="35.28515625" style="72" bestFit="1" customWidth="1"/>
    <col min="10" max="10" width="24.28515625" style="68" bestFit="1" customWidth="1"/>
    <col min="11" max="11" width="25.5703125" style="68" customWidth="1"/>
    <col min="12" max="12" width="14.5703125" style="68" bestFit="1" customWidth="1"/>
    <col min="13" max="16384" width="9.140625" style="68"/>
  </cols>
  <sheetData>
    <row r="1" spans="1:30" ht="93" customHeight="1" thickBot="1" x14ac:dyDescent="0.3">
      <c r="A1" s="465" t="s">
        <v>277</v>
      </c>
      <c r="B1" s="466"/>
      <c r="C1" s="466"/>
      <c r="D1" s="466"/>
      <c r="E1" s="466"/>
      <c r="F1" s="466"/>
      <c r="G1" s="466"/>
      <c r="H1" s="466"/>
      <c r="I1" s="466"/>
      <c r="J1" s="466"/>
      <c r="K1" s="467"/>
      <c r="L1" s="143"/>
      <c r="M1" s="61"/>
      <c r="N1" s="144"/>
    </row>
    <row r="2" spans="1:30" ht="18" customHeight="1" x14ac:dyDescent="0.25">
      <c r="A2" s="49" t="s">
        <v>659</v>
      </c>
      <c r="B2" s="449" t="s">
        <v>111</v>
      </c>
      <c r="C2" s="449"/>
      <c r="D2" s="449"/>
      <c r="E2" s="449"/>
      <c r="F2" s="449"/>
      <c r="G2" s="449"/>
      <c r="H2" s="449"/>
      <c r="I2" s="449"/>
      <c r="J2" s="553"/>
      <c r="K2" s="423">
        <v>0.22470000000000001</v>
      </c>
      <c r="L2" s="143"/>
      <c r="M2" s="61"/>
      <c r="N2" s="144"/>
    </row>
    <row r="3" spans="1:30" ht="17.25" customHeight="1" x14ac:dyDescent="0.25">
      <c r="A3" s="49" t="s">
        <v>221</v>
      </c>
      <c r="B3" s="449" t="s">
        <v>114</v>
      </c>
      <c r="C3" s="449"/>
      <c r="D3" s="449"/>
      <c r="E3" s="449"/>
      <c r="F3" s="449"/>
      <c r="G3" s="449"/>
      <c r="H3" s="449"/>
      <c r="I3" s="449"/>
      <c r="J3" s="553"/>
      <c r="K3" s="424" t="s">
        <v>1022</v>
      </c>
      <c r="L3" s="143"/>
      <c r="M3" s="61"/>
      <c r="N3" s="144"/>
    </row>
    <row r="4" spans="1:30" ht="18" customHeight="1" thickBot="1" x14ac:dyDescent="0.3">
      <c r="A4" s="50" t="s">
        <v>80</v>
      </c>
      <c r="B4" s="472" t="s">
        <v>867</v>
      </c>
      <c r="C4" s="472"/>
      <c r="D4" s="472"/>
      <c r="E4" s="472"/>
      <c r="F4" s="472"/>
      <c r="G4" s="472"/>
      <c r="H4" s="472"/>
      <c r="I4" s="472"/>
      <c r="J4" s="554"/>
      <c r="K4" s="425" t="s">
        <v>1023</v>
      </c>
      <c r="L4" s="143"/>
      <c r="M4" s="61"/>
      <c r="N4" s="144"/>
    </row>
    <row r="5" spans="1:30" s="1" customFormat="1" ht="57" customHeight="1" thickBot="1" x14ac:dyDescent="0.3">
      <c r="A5" s="43" t="s">
        <v>82</v>
      </c>
      <c r="B5" s="44" t="s">
        <v>654</v>
      </c>
      <c r="C5" s="45" t="s">
        <v>655</v>
      </c>
      <c r="D5" s="45" t="s">
        <v>83</v>
      </c>
      <c r="E5" s="45" t="s">
        <v>157</v>
      </c>
      <c r="F5" s="45" t="s">
        <v>276</v>
      </c>
      <c r="G5" s="45" t="s">
        <v>657</v>
      </c>
      <c r="H5" s="45" t="s">
        <v>866</v>
      </c>
      <c r="I5" s="45" t="s">
        <v>75</v>
      </c>
      <c r="J5" s="45" t="s">
        <v>717</v>
      </c>
      <c r="K5" s="331" t="s">
        <v>277</v>
      </c>
      <c r="L5" s="2"/>
    </row>
    <row r="6" spans="1:30" s="151" customFormat="1" ht="45" x14ac:dyDescent="0.25">
      <c r="A6" s="184" t="s">
        <v>72</v>
      </c>
      <c r="B6" s="185" t="s">
        <v>130</v>
      </c>
      <c r="C6" s="186" t="s">
        <v>156</v>
      </c>
      <c r="D6" s="329" t="s">
        <v>865</v>
      </c>
      <c r="E6" s="186" t="s">
        <v>445</v>
      </c>
      <c r="F6" s="187">
        <v>1</v>
      </c>
      <c r="G6" s="188">
        <v>107972.15889641996</v>
      </c>
      <c r="H6" s="188">
        <v>107972.15889641996</v>
      </c>
      <c r="I6" s="189">
        <f t="shared" ref="I6:I69" si="0">H6/$H$265</f>
        <v>9.0698814204281109E-2</v>
      </c>
      <c r="J6" s="190">
        <f>I6</f>
        <v>9.0698814204281109E-2</v>
      </c>
      <c r="K6" s="191" t="s">
        <v>278</v>
      </c>
    </row>
    <row r="7" spans="1:30" s="151" customFormat="1" ht="30" x14ac:dyDescent="0.25">
      <c r="A7" s="192" t="s">
        <v>56</v>
      </c>
      <c r="B7" s="193" t="s">
        <v>833</v>
      </c>
      <c r="C7" s="193" t="s">
        <v>156</v>
      </c>
      <c r="D7" s="194" t="s">
        <v>475</v>
      </c>
      <c r="E7" s="193" t="s">
        <v>107</v>
      </c>
      <c r="F7" s="195">
        <v>419.07000000000011</v>
      </c>
      <c r="G7" s="196">
        <v>206.06990401891406</v>
      </c>
      <c r="H7" s="196">
        <v>86357.714677206342</v>
      </c>
      <c r="I7" s="197">
        <f t="shared" si="0"/>
        <v>7.2542240505982528E-2</v>
      </c>
      <c r="J7" s="198">
        <f>J6+I7</f>
        <v>0.16324105471026362</v>
      </c>
      <c r="K7" s="199" t="s">
        <v>278</v>
      </c>
    </row>
    <row r="8" spans="1:30" s="152" customFormat="1" x14ac:dyDescent="0.25">
      <c r="A8" s="192" t="s">
        <v>1063</v>
      </c>
      <c r="B8" s="193" t="s">
        <v>973</v>
      </c>
      <c r="C8" s="193" t="s">
        <v>156</v>
      </c>
      <c r="D8" s="194" t="s">
        <v>940</v>
      </c>
      <c r="E8" s="193" t="s">
        <v>144</v>
      </c>
      <c r="F8" s="195">
        <v>1</v>
      </c>
      <c r="G8" s="196">
        <v>65294.047703999997</v>
      </c>
      <c r="H8" s="196">
        <v>65294.047703999997</v>
      </c>
      <c r="I8" s="197">
        <f t="shared" si="0"/>
        <v>5.4848330920489935E-2</v>
      </c>
      <c r="J8" s="198">
        <f t="shared" ref="J8:J71" si="1">J7+I8</f>
        <v>0.21808938563075356</v>
      </c>
      <c r="K8" s="199" t="s">
        <v>278</v>
      </c>
      <c r="L8" s="151"/>
      <c r="M8" s="151"/>
      <c r="N8" s="151"/>
      <c r="O8" s="151"/>
      <c r="P8" s="151"/>
      <c r="Q8" s="151"/>
      <c r="R8" s="151"/>
      <c r="S8" s="151"/>
      <c r="T8" s="151"/>
      <c r="U8" s="151"/>
      <c r="V8" s="151"/>
      <c r="W8" s="151"/>
      <c r="X8" s="151"/>
      <c r="Y8" s="151"/>
      <c r="Z8" s="151"/>
      <c r="AA8" s="151"/>
      <c r="AB8" s="151"/>
      <c r="AC8" s="151"/>
      <c r="AD8" s="151"/>
    </row>
    <row r="9" spans="1:30" s="151" customFormat="1" ht="31.5" customHeight="1" x14ac:dyDescent="0.25">
      <c r="A9" s="192" t="s">
        <v>57</v>
      </c>
      <c r="B9" s="193" t="s">
        <v>967</v>
      </c>
      <c r="C9" s="193" t="s">
        <v>106</v>
      </c>
      <c r="D9" s="194" t="s">
        <v>477</v>
      </c>
      <c r="E9" s="193" t="s">
        <v>107</v>
      </c>
      <c r="F9" s="195">
        <v>373.54000000000008</v>
      </c>
      <c r="G9" s="196">
        <v>170.569908795</v>
      </c>
      <c r="H9" s="196">
        <v>63714.683731284313</v>
      </c>
      <c r="I9" s="197">
        <f t="shared" si="0"/>
        <v>5.3521632992187006E-2</v>
      </c>
      <c r="J9" s="198">
        <f t="shared" si="1"/>
        <v>0.27161101862294057</v>
      </c>
      <c r="K9" s="199" t="s">
        <v>278</v>
      </c>
      <c r="L9" s="150"/>
    </row>
    <row r="10" spans="1:30" s="151" customFormat="1" x14ac:dyDescent="0.25">
      <c r="A10" s="192" t="s">
        <v>549</v>
      </c>
      <c r="B10" s="193" t="s">
        <v>470</v>
      </c>
      <c r="C10" s="193" t="s">
        <v>6</v>
      </c>
      <c r="D10" s="194" t="s">
        <v>469</v>
      </c>
      <c r="E10" s="193" t="s">
        <v>143</v>
      </c>
      <c r="F10" s="195">
        <v>4985</v>
      </c>
      <c r="G10" s="196">
        <v>10.863088999999999</v>
      </c>
      <c r="H10" s="196">
        <v>54152.498664999992</v>
      </c>
      <c r="I10" s="197">
        <f t="shared" si="0"/>
        <v>4.5489202636266525E-2</v>
      </c>
      <c r="J10" s="198">
        <f t="shared" si="1"/>
        <v>0.31710022125920712</v>
      </c>
      <c r="K10" s="199" t="s">
        <v>278</v>
      </c>
    </row>
    <row r="11" spans="1:30" s="151" customFormat="1" ht="45" x14ac:dyDescent="0.25">
      <c r="A11" s="192" t="s">
        <v>92</v>
      </c>
      <c r="B11" s="200" t="s">
        <v>131</v>
      </c>
      <c r="C11" s="193" t="s">
        <v>156</v>
      </c>
      <c r="D11" s="194" t="s">
        <v>871</v>
      </c>
      <c r="E11" s="193" t="s">
        <v>474</v>
      </c>
      <c r="F11" s="195">
        <v>5</v>
      </c>
      <c r="G11" s="196">
        <v>10674.11779</v>
      </c>
      <c r="H11" s="196">
        <v>53370.588950000005</v>
      </c>
      <c r="I11" s="197">
        <f t="shared" si="0"/>
        <v>4.4832382538473173E-2</v>
      </c>
      <c r="J11" s="198">
        <f t="shared" si="1"/>
        <v>0.36193260379768027</v>
      </c>
      <c r="K11" s="199" t="s">
        <v>278</v>
      </c>
      <c r="L11" s="150"/>
    </row>
    <row r="12" spans="1:30" s="151" customFormat="1" ht="32.25" customHeight="1" x14ac:dyDescent="0.25">
      <c r="A12" s="192" t="s">
        <v>44</v>
      </c>
      <c r="B12" s="193">
        <v>93572</v>
      </c>
      <c r="C12" s="193" t="s">
        <v>17</v>
      </c>
      <c r="D12" s="193" t="s">
        <v>873</v>
      </c>
      <c r="E12" s="193" t="s">
        <v>84</v>
      </c>
      <c r="F12" s="195">
        <v>4</v>
      </c>
      <c r="G12" s="196">
        <v>11908.125509999998</v>
      </c>
      <c r="H12" s="196">
        <v>47632.502039999992</v>
      </c>
      <c r="I12" s="197">
        <f t="shared" si="0"/>
        <v>4.0012272578114079E-2</v>
      </c>
      <c r="J12" s="198">
        <f t="shared" si="1"/>
        <v>0.40194487637579435</v>
      </c>
      <c r="K12" s="199" t="s">
        <v>278</v>
      </c>
    </row>
    <row r="13" spans="1:30" s="151" customFormat="1" ht="32.25" customHeight="1" x14ac:dyDescent="0.25">
      <c r="A13" s="192" t="s">
        <v>170</v>
      </c>
      <c r="B13" s="193" t="s">
        <v>981</v>
      </c>
      <c r="C13" s="194" t="s">
        <v>156</v>
      </c>
      <c r="D13" s="326" t="s">
        <v>597</v>
      </c>
      <c r="E13" s="193" t="s">
        <v>144</v>
      </c>
      <c r="F13" s="195">
        <v>1</v>
      </c>
      <c r="G13" s="196">
        <v>47293.9108671992</v>
      </c>
      <c r="H13" s="196">
        <v>47293.9108671992</v>
      </c>
      <c r="I13" s="197">
        <f t="shared" si="0"/>
        <v>3.9727849091662076E-2</v>
      </c>
      <c r="J13" s="198">
        <f t="shared" si="1"/>
        <v>0.4416727254674564</v>
      </c>
      <c r="K13" s="199" t="s">
        <v>278</v>
      </c>
      <c r="L13" s="150"/>
    </row>
    <row r="14" spans="1:30" s="151" customFormat="1" ht="45" x14ac:dyDescent="0.25">
      <c r="A14" s="192" t="s">
        <v>73</v>
      </c>
      <c r="B14" s="200" t="s">
        <v>860</v>
      </c>
      <c r="C14" s="193" t="s">
        <v>156</v>
      </c>
      <c r="D14" s="194" t="s">
        <v>864</v>
      </c>
      <c r="E14" s="193" t="s">
        <v>445</v>
      </c>
      <c r="F14" s="195">
        <v>1</v>
      </c>
      <c r="G14" s="196">
        <v>29100.794778999996</v>
      </c>
      <c r="H14" s="196">
        <v>29100.794778999996</v>
      </c>
      <c r="I14" s="197">
        <f t="shared" si="0"/>
        <v>2.4445260758280064E-2</v>
      </c>
      <c r="J14" s="198">
        <f t="shared" si="1"/>
        <v>0.46611798622573647</v>
      </c>
      <c r="K14" s="199" t="s">
        <v>278</v>
      </c>
    </row>
    <row r="15" spans="1:30" s="151" customFormat="1" ht="30" x14ac:dyDescent="0.25">
      <c r="A15" s="192" t="s">
        <v>95</v>
      </c>
      <c r="B15" s="193" t="s">
        <v>23</v>
      </c>
      <c r="C15" s="193" t="s">
        <v>6</v>
      </c>
      <c r="D15" s="194" t="s">
        <v>24</v>
      </c>
      <c r="E15" s="193" t="s">
        <v>107</v>
      </c>
      <c r="F15" s="195">
        <v>1172.575</v>
      </c>
      <c r="G15" s="196">
        <v>21.762918999999997</v>
      </c>
      <c r="H15" s="196">
        <v>25518.654746424996</v>
      </c>
      <c r="I15" s="197">
        <f t="shared" si="0"/>
        <v>2.1436190118320764E-2</v>
      </c>
      <c r="J15" s="198">
        <f t="shared" si="1"/>
        <v>0.48755417634405723</v>
      </c>
      <c r="K15" s="199" t="s">
        <v>278</v>
      </c>
      <c r="L15" s="150"/>
    </row>
    <row r="16" spans="1:30" s="151" customFormat="1" x14ac:dyDescent="0.25">
      <c r="A16" s="192" t="s">
        <v>43</v>
      </c>
      <c r="B16" s="193">
        <v>93565</v>
      </c>
      <c r="C16" s="193" t="s">
        <v>17</v>
      </c>
      <c r="D16" s="193" t="s">
        <v>872</v>
      </c>
      <c r="E16" s="193" t="s">
        <v>84</v>
      </c>
      <c r="F16" s="195">
        <v>1</v>
      </c>
      <c r="G16" s="196">
        <v>25466.791456999999</v>
      </c>
      <c r="H16" s="196">
        <v>25466.791456999999</v>
      </c>
      <c r="I16" s="197">
        <f t="shared" si="0"/>
        <v>2.1392623898105669E-2</v>
      </c>
      <c r="J16" s="198">
        <f t="shared" si="1"/>
        <v>0.50894680024216288</v>
      </c>
      <c r="K16" s="199" t="s">
        <v>278</v>
      </c>
      <c r="L16" s="150"/>
    </row>
    <row r="17" spans="1:11" s="151" customFormat="1" ht="30" x14ac:dyDescent="0.25">
      <c r="A17" s="192" t="s">
        <v>555</v>
      </c>
      <c r="B17" s="193" t="s">
        <v>982</v>
      </c>
      <c r="C17" s="193" t="s">
        <v>156</v>
      </c>
      <c r="D17" s="194" t="s">
        <v>598</v>
      </c>
      <c r="E17" s="193" t="s">
        <v>144</v>
      </c>
      <c r="F17" s="195">
        <v>1</v>
      </c>
      <c r="G17" s="196">
        <v>23002.936200429995</v>
      </c>
      <c r="H17" s="196">
        <v>23002.936200429995</v>
      </c>
      <c r="I17" s="197">
        <f t="shared" si="0"/>
        <v>1.9322935263313596E-2</v>
      </c>
      <c r="J17" s="198">
        <f t="shared" si="1"/>
        <v>0.52826973550547651</v>
      </c>
      <c r="K17" s="199" t="s">
        <v>278</v>
      </c>
    </row>
    <row r="18" spans="1:11" s="151" customFormat="1" ht="30" x14ac:dyDescent="0.25">
      <c r="A18" s="192" t="s">
        <v>694</v>
      </c>
      <c r="B18" s="193" t="s">
        <v>963</v>
      </c>
      <c r="C18" s="193" t="s">
        <v>156</v>
      </c>
      <c r="D18" s="194" t="s">
        <v>476</v>
      </c>
      <c r="E18" s="193" t="s">
        <v>107</v>
      </c>
      <c r="F18" s="195">
        <v>83.800000000000011</v>
      </c>
      <c r="G18" s="196">
        <v>264.08147797787075</v>
      </c>
      <c r="H18" s="196">
        <v>22130.027854545573</v>
      </c>
      <c r="I18" s="197">
        <f t="shared" si="0"/>
        <v>1.8589674460807195E-2</v>
      </c>
      <c r="J18" s="198">
        <f t="shared" si="1"/>
        <v>0.54685940996628368</v>
      </c>
      <c r="K18" s="199" t="s">
        <v>278</v>
      </c>
    </row>
    <row r="19" spans="1:11" s="151" customFormat="1" ht="30" x14ac:dyDescent="0.25">
      <c r="A19" s="192" t="s">
        <v>97</v>
      </c>
      <c r="B19" s="193" t="s">
        <v>668</v>
      </c>
      <c r="C19" s="193" t="s">
        <v>6</v>
      </c>
      <c r="D19" s="194" t="s">
        <v>28</v>
      </c>
      <c r="E19" s="193" t="s">
        <v>107</v>
      </c>
      <c r="F19" s="195">
        <v>992.45</v>
      </c>
      <c r="G19" s="196">
        <v>20.538218999999998</v>
      </c>
      <c r="H19" s="196">
        <v>20383.155446549998</v>
      </c>
      <c r="I19" s="197">
        <f t="shared" si="0"/>
        <v>1.7122266032645914E-2</v>
      </c>
      <c r="J19" s="198">
        <f t="shared" si="1"/>
        <v>0.56398167599892957</v>
      </c>
      <c r="K19" s="199" t="s">
        <v>278</v>
      </c>
    </row>
    <row r="20" spans="1:11" s="151" customFormat="1" ht="30" x14ac:dyDescent="0.25">
      <c r="A20" s="192" t="s">
        <v>66</v>
      </c>
      <c r="B20" s="193">
        <v>9842</v>
      </c>
      <c r="C20" s="194" t="s">
        <v>140</v>
      </c>
      <c r="D20" s="326" t="s">
        <v>602</v>
      </c>
      <c r="E20" s="193" t="s">
        <v>143</v>
      </c>
      <c r="F20" s="195">
        <v>215</v>
      </c>
      <c r="G20" s="196">
        <v>93.885501999999988</v>
      </c>
      <c r="H20" s="196">
        <v>20185.382929999996</v>
      </c>
      <c r="I20" s="197">
        <f t="shared" si="0"/>
        <v>1.6956133087666182E-2</v>
      </c>
      <c r="J20" s="198">
        <f t="shared" si="1"/>
        <v>0.58093780908659576</v>
      </c>
      <c r="K20" s="199" t="s">
        <v>278</v>
      </c>
    </row>
    <row r="21" spans="1:11" s="151" customFormat="1" x14ac:dyDescent="0.25">
      <c r="A21" s="192" t="s">
        <v>556</v>
      </c>
      <c r="B21" s="193" t="s">
        <v>983</v>
      </c>
      <c r="C21" s="193" t="s">
        <v>156</v>
      </c>
      <c r="D21" s="194" t="s">
        <v>599</v>
      </c>
      <c r="E21" s="193" t="s">
        <v>144</v>
      </c>
      <c r="F21" s="195">
        <v>1</v>
      </c>
      <c r="G21" s="196">
        <v>17808.450143580001</v>
      </c>
      <c r="H21" s="196">
        <v>17808.450143580001</v>
      </c>
      <c r="I21" s="197">
        <f t="shared" si="0"/>
        <v>1.4959461099488317E-2</v>
      </c>
      <c r="J21" s="198">
        <f t="shared" si="1"/>
        <v>0.59589727018608407</v>
      </c>
      <c r="K21" s="199" t="s">
        <v>278</v>
      </c>
    </row>
    <row r="22" spans="1:11" s="151" customFormat="1" ht="30" x14ac:dyDescent="0.25">
      <c r="A22" s="192" t="s">
        <v>557</v>
      </c>
      <c r="B22" s="194" t="s">
        <v>988</v>
      </c>
      <c r="C22" s="201" t="s">
        <v>156</v>
      </c>
      <c r="D22" s="194" t="s">
        <v>793</v>
      </c>
      <c r="E22" s="193" t="s">
        <v>144</v>
      </c>
      <c r="F22" s="195">
        <v>9</v>
      </c>
      <c r="G22" s="196">
        <v>1934.2097568786405</v>
      </c>
      <c r="H22" s="196">
        <v>17407.887811907764</v>
      </c>
      <c r="I22" s="197">
        <f t="shared" si="0"/>
        <v>1.4622980576463612E-2</v>
      </c>
      <c r="J22" s="198">
        <f t="shared" si="1"/>
        <v>0.61052025076254768</v>
      </c>
      <c r="K22" s="199" t="s">
        <v>278</v>
      </c>
    </row>
    <row r="23" spans="1:11" s="151" customFormat="1" ht="30" x14ac:dyDescent="0.25">
      <c r="A23" s="192" t="s">
        <v>528</v>
      </c>
      <c r="B23" s="193" t="s">
        <v>714</v>
      </c>
      <c r="C23" s="193" t="s">
        <v>156</v>
      </c>
      <c r="D23" s="194" t="s">
        <v>402</v>
      </c>
      <c r="E23" s="193" t="s">
        <v>144</v>
      </c>
      <c r="F23" s="195">
        <v>62</v>
      </c>
      <c r="G23" s="196">
        <v>262.66324604999994</v>
      </c>
      <c r="H23" s="196">
        <v>16285.121255099997</v>
      </c>
      <c r="I23" s="197">
        <f t="shared" si="0"/>
        <v>1.3679833784072629E-2</v>
      </c>
      <c r="J23" s="198">
        <f t="shared" si="1"/>
        <v>0.62420008454662035</v>
      </c>
      <c r="K23" s="199" t="s">
        <v>278</v>
      </c>
    </row>
    <row r="24" spans="1:11" s="151" customFormat="1" ht="30" x14ac:dyDescent="0.25">
      <c r="A24" s="192" t="s">
        <v>52</v>
      </c>
      <c r="B24" s="193" t="s">
        <v>13</v>
      </c>
      <c r="C24" s="193" t="s">
        <v>6</v>
      </c>
      <c r="D24" s="194" t="s">
        <v>101</v>
      </c>
      <c r="E24" s="193" t="s">
        <v>107</v>
      </c>
      <c r="F24" s="195">
        <v>373.54000000000008</v>
      </c>
      <c r="G24" s="196">
        <v>41.211154999999998</v>
      </c>
      <c r="H24" s="196">
        <v>15394.014838700003</v>
      </c>
      <c r="I24" s="197">
        <f t="shared" si="0"/>
        <v>1.2931286231412868E-2</v>
      </c>
      <c r="J24" s="198">
        <f t="shared" si="1"/>
        <v>0.63713137077803317</v>
      </c>
      <c r="K24" s="199" t="s">
        <v>278</v>
      </c>
    </row>
    <row r="25" spans="1:11" s="151" customFormat="1" ht="30" x14ac:dyDescent="0.25">
      <c r="A25" s="192" t="s">
        <v>695</v>
      </c>
      <c r="B25" s="193">
        <v>96366</v>
      </c>
      <c r="C25" s="193" t="s">
        <v>17</v>
      </c>
      <c r="D25" s="194" t="s">
        <v>102</v>
      </c>
      <c r="E25" s="193" t="s">
        <v>107</v>
      </c>
      <c r="F25" s="195">
        <v>71.152799999999985</v>
      </c>
      <c r="G25" s="196">
        <v>183.64376499999997</v>
      </c>
      <c r="H25" s="196">
        <v>13066.768082291996</v>
      </c>
      <c r="I25" s="197">
        <f t="shared" si="0"/>
        <v>1.0976351521165406E-2</v>
      </c>
      <c r="J25" s="198">
        <f t="shared" si="1"/>
        <v>0.64810772229919855</v>
      </c>
      <c r="K25" s="199" t="s">
        <v>278</v>
      </c>
    </row>
    <row r="26" spans="1:11" s="151" customFormat="1" ht="60" x14ac:dyDescent="0.25">
      <c r="A26" s="192" t="s">
        <v>74</v>
      </c>
      <c r="B26" s="200" t="s">
        <v>861</v>
      </c>
      <c r="C26" s="193" t="s">
        <v>156</v>
      </c>
      <c r="D26" s="194" t="s">
        <v>660</v>
      </c>
      <c r="E26" s="193" t="s">
        <v>474</v>
      </c>
      <c r="F26" s="195">
        <v>1</v>
      </c>
      <c r="G26" s="196">
        <v>12971.079380999998</v>
      </c>
      <c r="H26" s="196">
        <v>12971.079380999998</v>
      </c>
      <c r="I26" s="197">
        <f t="shared" si="0"/>
        <v>1.0895971061715136E-2</v>
      </c>
      <c r="J26" s="198">
        <f t="shared" si="1"/>
        <v>0.65900369336091369</v>
      </c>
      <c r="K26" s="199" t="s">
        <v>278</v>
      </c>
    </row>
    <row r="27" spans="1:11" s="151" customFormat="1" ht="30" x14ac:dyDescent="0.25">
      <c r="A27" s="192" t="s">
        <v>701</v>
      </c>
      <c r="B27" s="193">
        <v>7384</v>
      </c>
      <c r="C27" s="193" t="s">
        <v>140</v>
      </c>
      <c r="D27" s="194" t="s">
        <v>918</v>
      </c>
      <c r="E27" s="193" t="s">
        <v>143</v>
      </c>
      <c r="F27" s="195">
        <v>399</v>
      </c>
      <c r="G27" s="196">
        <v>28.413039999999995</v>
      </c>
      <c r="H27" s="196">
        <v>11336.802959999997</v>
      </c>
      <c r="I27" s="197">
        <f t="shared" si="0"/>
        <v>9.5231455576061195E-3</v>
      </c>
      <c r="J27" s="198">
        <f t="shared" si="1"/>
        <v>0.66852683891851983</v>
      </c>
      <c r="K27" s="199" t="s">
        <v>278</v>
      </c>
    </row>
    <row r="28" spans="1:11" s="151" customFormat="1" ht="30" x14ac:dyDescent="0.25">
      <c r="A28" s="192" t="s">
        <v>501</v>
      </c>
      <c r="B28" s="193" t="s">
        <v>430</v>
      </c>
      <c r="C28" s="193" t="s">
        <v>6</v>
      </c>
      <c r="D28" s="194" t="s">
        <v>429</v>
      </c>
      <c r="E28" s="193" t="s">
        <v>143</v>
      </c>
      <c r="F28" s="195">
        <v>2100</v>
      </c>
      <c r="G28" s="196">
        <v>5.1804810000000003</v>
      </c>
      <c r="H28" s="196">
        <v>10879.010100000001</v>
      </c>
      <c r="I28" s="197">
        <f t="shared" si="0"/>
        <v>9.1385902242908136E-3</v>
      </c>
      <c r="J28" s="198">
        <f t="shared" si="1"/>
        <v>0.67766542914281069</v>
      </c>
      <c r="K28" s="199" t="s">
        <v>278</v>
      </c>
    </row>
    <row r="29" spans="1:11" s="151" customFormat="1" x14ac:dyDescent="0.25">
      <c r="A29" s="192" t="s">
        <v>245</v>
      </c>
      <c r="B29" s="193" t="s">
        <v>997</v>
      </c>
      <c r="C29" s="193" t="s">
        <v>156</v>
      </c>
      <c r="D29" s="194" t="s">
        <v>775</v>
      </c>
      <c r="E29" s="193" t="s">
        <v>144</v>
      </c>
      <c r="F29" s="195">
        <v>110</v>
      </c>
      <c r="G29" s="196">
        <v>96.034850500000005</v>
      </c>
      <c r="H29" s="196">
        <v>10563.833555000001</v>
      </c>
      <c r="I29" s="197">
        <f t="shared" si="0"/>
        <v>8.8738355024376957E-3</v>
      </c>
      <c r="J29" s="198">
        <f t="shared" si="1"/>
        <v>0.68653926464524839</v>
      </c>
      <c r="K29" s="199" t="s">
        <v>278</v>
      </c>
    </row>
    <row r="30" spans="1:11" s="151" customFormat="1" ht="30" x14ac:dyDescent="0.25">
      <c r="A30" s="192" t="s">
        <v>716</v>
      </c>
      <c r="B30" s="193" t="s">
        <v>991</v>
      </c>
      <c r="C30" s="193" t="s">
        <v>156</v>
      </c>
      <c r="D30" s="194" t="s">
        <v>764</v>
      </c>
      <c r="E30" s="193" t="s">
        <v>144</v>
      </c>
      <c r="F30" s="195">
        <v>1</v>
      </c>
      <c r="G30" s="196">
        <v>10248.791727</v>
      </c>
      <c r="H30" s="196">
        <v>10248.791727</v>
      </c>
      <c r="I30" s="197">
        <f t="shared" si="0"/>
        <v>8.6091939456104331E-3</v>
      </c>
      <c r="J30" s="198">
        <f t="shared" si="1"/>
        <v>0.69514845859085883</v>
      </c>
      <c r="K30" s="199" t="s">
        <v>278</v>
      </c>
    </row>
    <row r="31" spans="1:11" s="151" customFormat="1" x14ac:dyDescent="0.25">
      <c r="A31" s="192" t="s">
        <v>243</v>
      </c>
      <c r="B31" s="193" t="s">
        <v>995</v>
      </c>
      <c r="C31" s="193" t="s">
        <v>156</v>
      </c>
      <c r="D31" s="194" t="s">
        <v>759</v>
      </c>
      <c r="E31" s="193" t="s">
        <v>144</v>
      </c>
      <c r="F31" s="195">
        <v>23</v>
      </c>
      <c r="G31" s="196">
        <v>424.01716487499993</v>
      </c>
      <c r="H31" s="196">
        <v>9752.3947921249983</v>
      </c>
      <c r="I31" s="197">
        <f t="shared" si="0"/>
        <v>8.1922104025565837E-3</v>
      </c>
      <c r="J31" s="198">
        <f t="shared" si="1"/>
        <v>0.70334066899341541</v>
      </c>
      <c r="K31" s="199" t="s">
        <v>278</v>
      </c>
    </row>
    <row r="32" spans="1:11" s="151" customFormat="1" ht="30" x14ac:dyDescent="0.25">
      <c r="A32" s="192" t="s">
        <v>512</v>
      </c>
      <c r="B32" s="193">
        <v>7384</v>
      </c>
      <c r="C32" s="193" t="s">
        <v>140</v>
      </c>
      <c r="D32" s="194" t="s">
        <v>918</v>
      </c>
      <c r="E32" s="193" t="s">
        <v>143</v>
      </c>
      <c r="F32" s="195">
        <v>342</v>
      </c>
      <c r="G32" s="196">
        <v>28.413039999999995</v>
      </c>
      <c r="H32" s="196">
        <v>9717.2596799999992</v>
      </c>
      <c r="I32" s="197">
        <f t="shared" si="0"/>
        <v>8.1626961922338179E-3</v>
      </c>
      <c r="J32" s="198">
        <f t="shared" si="1"/>
        <v>0.71150336518564927</v>
      </c>
      <c r="K32" s="199" t="s">
        <v>278</v>
      </c>
    </row>
    <row r="33" spans="1:30" s="151" customFormat="1" ht="45" x14ac:dyDescent="0.25">
      <c r="A33" s="192" t="s">
        <v>709</v>
      </c>
      <c r="B33" s="193" t="s">
        <v>921</v>
      </c>
      <c r="C33" s="193" t="s">
        <v>907</v>
      </c>
      <c r="D33" s="194" t="s">
        <v>920</v>
      </c>
      <c r="E33" s="193" t="s">
        <v>143</v>
      </c>
      <c r="F33" s="195">
        <v>66</v>
      </c>
      <c r="G33" s="196">
        <v>140.81600599999999</v>
      </c>
      <c r="H33" s="196">
        <v>9293.8563959999992</v>
      </c>
      <c r="I33" s="197">
        <f t="shared" si="0"/>
        <v>7.8070288037004609E-3</v>
      </c>
      <c r="J33" s="198">
        <f t="shared" si="1"/>
        <v>0.71931039398934971</v>
      </c>
      <c r="K33" s="199" t="s">
        <v>278</v>
      </c>
    </row>
    <row r="34" spans="1:30" s="151" customFormat="1" x14ac:dyDescent="0.25">
      <c r="A34" s="192" t="s">
        <v>774</v>
      </c>
      <c r="B34" s="193" t="s">
        <v>992</v>
      </c>
      <c r="C34" s="193" t="s">
        <v>156</v>
      </c>
      <c r="D34" s="194" t="s">
        <v>870</v>
      </c>
      <c r="E34" s="193" t="s">
        <v>144</v>
      </c>
      <c r="F34" s="195">
        <v>11</v>
      </c>
      <c r="G34" s="196">
        <v>842.59359999999992</v>
      </c>
      <c r="H34" s="196">
        <v>9268.5295999999998</v>
      </c>
      <c r="I34" s="197">
        <f t="shared" si="0"/>
        <v>7.7857537788396779E-3</v>
      </c>
      <c r="J34" s="198">
        <f t="shared" si="1"/>
        <v>0.72709614776818943</v>
      </c>
      <c r="K34" s="199" t="s">
        <v>278</v>
      </c>
    </row>
    <row r="35" spans="1:30" s="152" customFormat="1" ht="30" x14ac:dyDescent="0.25">
      <c r="A35" s="192" t="s">
        <v>698</v>
      </c>
      <c r="B35" s="193">
        <v>91927</v>
      </c>
      <c r="C35" s="193" t="s">
        <v>17</v>
      </c>
      <c r="D35" s="194" t="s">
        <v>932</v>
      </c>
      <c r="E35" s="193" t="s">
        <v>143</v>
      </c>
      <c r="F35" s="195">
        <v>1440</v>
      </c>
      <c r="G35" s="196">
        <v>5.8785599999999993</v>
      </c>
      <c r="H35" s="196">
        <v>8465.1263999999992</v>
      </c>
      <c r="I35" s="197">
        <f t="shared" si="0"/>
        <v>7.1108787155575916E-3</v>
      </c>
      <c r="J35" s="198">
        <f t="shared" si="1"/>
        <v>0.73420702648374703</v>
      </c>
      <c r="K35" s="199" t="s">
        <v>278</v>
      </c>
      <c r="L35" s="151"/>
      <c r="M35" s="151"/>
      <c r="N35" s="151"/>
      <c r="O35" s="151"/>
      <c r="P35" s="151"/>
      <c r="Q35" s="151"/>
      <c r="R35" s="151"/>
      <c r="S35" s="151"/>
      <c r="T35" s="151"/>
      <c r="U35" s="151"/>
      <c r="V35" s="151"/>
      <c r="W35" s="151"/>
      <c r="X35" s="151"/>
      <c r="Y35" s="151"/>
      <c r="Z35" s="151"/>
      <c r="AA35" s="151"/>
      <c r="AB35" s="151"/>
      <c r="AC35" s="151"/>
      <c r="AD35" s="151"/>
    </row>
    <row r="36" spans="1:30" s="152" customFormat="1" ht="30" x14ac:dyDescent="0.25">
      <c r="A36" s="192" t="s">
        <v>529</v>
      </c>
      <c r="B36" s="193" t="s">
        <v>158</v>
      </c>
      <c r="C36" s="193" t="s">
        <v>156</v>
      </c>
      <c r="D36" s="194" t="s">
        <v>403</v>
      </c>
      <c r="E36" s="193" t="s">
        <v>144</v>
      </c>
      <c r="F36" s="195">
        <v>23</v>
      </c>
      <c r="G36" s="196">
        <v>364.23986404999994</v>
      </c>
      <c r="H36" s="196">
        <v>8377.516873149998</v>
      </c>
      <c r="I36" s="197">
        <f t="shared" si="0"/>
        <v>7.0372849273115301E-3</v>
      </c>
      <c r="J36" s="198">
        <f t="shared" si="1"/>
        <v>0.74124431141105851</v>
      </c>
      <c r="K36" s="199" t="s">
        <v>278</v>
      </c>
      <c r="L36" s="151"/>
      <c r="M36" s="151"/>
      <c r="N36" s="151"/>
      <c r="O36" s="151"/>
      <c r="P36" s="151"/>
      <c r="Q36" s="151"/>
      <c r="R36" s="151"/>
      <c r="S36" s="151"/>
      <c r="T36" s="151"/>
      <c r="U36" s="151"/>
      <c r="V36" s="151"/>
      <c r="W36" s="151"/>
      <c r="X36" s="151"/>
      <c r="Y36" s="151"/>
      <c r="Z36" s="151"/>
      <c r="AA36" s="151"/>
      <c r="AB36" s="151"/>
      <c r="AC36" s="151"/>
      <c r="AD36" s="151"/>
    </row>
    <row r="37" spans="1:30" s="151" customFormat="1" x14ac:dyDescent="0.25">
      <c r="A37" s="192" t="s">
        <v>741</v>
      </c>
      <c r="B37" s="193" t="s">
        <v>737</v>
      </c>
      <c r="C37" s="193" t="s">
        <v>6</v>
      </c>
      <c r="D37" s="194" t="s">
        <v>736</v>
      </c>
      <c r="E37" s="193" t="s">
        <v>445</v>
      </c>
      <c r="F37" s="195">
        <v>6</v>
      </c>
      <c r="G37" s="196">
        <v>1366.9611520000001</v>
      </c>
      <c r="H37" s="196">
        <v>8201.766912000001</v>
      </c>
      <c r="I37" s="197">
        <f t="shared" si="0"/>
        <v>6.8896513777402454E-3</v>
      </c>
      <c r="J37" s="198">
        <f t="shared" si="1"/>
        <v>0.74813396278879873</v>
      </c>
      <c r="K37" s="199" t="s">
        <v>278</v>
      </c>
    </row>
    <row r="38" spans="1:30" s="151" customFormat="1" ht="45" x14ac:dyDescent="0.25">
      <c r="A38" s="192" t="s">
        <v>70</v>
      </c>
      <c r="B38" s="193">
        <v>97332</v>
      </c>
      <c r="C38" s="193" t="s">
        <v>17</v>
      </c>
      <c r="D38" s="194" t="s">
        <v>611</v>
      </c>
      <c r="E38" s="193" t="s">
        <v>143</v>
      </c>
      <c r="F38" s="195">
        <v>152</v>
      </c>
      <c r="G38" s="196">
        <v>52.980521999999993</v>
      </c>
      <c r="H38" s="196">
        <v>8053.0393439999989</v>
      </c>
      <c r="I38" s="197">
        <f t="shared" si="0"/>
        <v>6.764717189196072E-3</v>
      </c>
      <c r="J38" s="198">
        <f t="shared" si="1"/>
        <v>0.75489867997799476</v>
      </c>
      <c r="K38" s="199" t="s">
        <v>278</v>
      </c>
    </row>
    <row r="39" spans="1:30" s="151" customFormat="1" x14ac:dyDescent="0.25">
      <c r="A39" s="192" t="s">
        <v>517</v>
      </c>
      <c r="B39" s="193" t="s">
        <v>905</v>
      </c>
      <c r="C39" s="193" t="s">
        <v>904</v>
      </c>
      <c r="D39" s="194" t="s">
        <v>903</v>
      </c>
      <c r="E39" s="193" t="s">
        <v>143</v>
      </c>
      <c r="F39" s="195">
        <v>69</v>
      </c>
      <c r="G39" s="196">
        <v>114.90135399999998</v>
      </c>
      <c r="H39" s="196">
        <v>7928.1934259999989</v>
      </c>
      <c r="I39" s="197">
        <f t="shared" si="0"/>
        <v>6.6598440734171455E-3</v>
      </c>
      <c r="J39" s="198">
        <f t="shared" si="1"/>
        <v>0.76155852405141189</v>
      </c>
      <c r="K39" s="199" t="s">
        <v>278</v>
      </c>
    </row>
    <row r="40" spans="1:30" s="151" customFormat="1" ht="30" x14ac:dyDescent="0.25">
      <c r="A40" s="192" t="s">
        <v>1073</v>
      </c>
      <c r="B40" s="193">
        <v>7384</v>
      </c>
      <c r="C40" s="193" t="s">
        <v>140</v>
      </c>
      <c r="D40" s="194" t="s">
        <v>918</v>
      </c>
      <c r="E40" s="193" t="s">
        <v>143</v>
      </c>
      <c r="F40" s="195">
        <v>246</v>
      </c>
      <c r="G40" s="196">
        <v>28.413039999999995</v>
      </c>
      <c r="H40" s="196">
        <v>6989.6078399999988</v>
      </c>
      <c r="I40" s="197">
        <f t="shared" si="0"/>
        <v>5.8714130505541492E-3</v>
      </c>
      <c r="J40" s="198">
        <f t="shared" si="1"/>
        <v>0.76742993710196605</v>
      </c>
      <c r="K40" s="199" t="s">
        <v>278</v>
      </c>
    </row>
    <row r="41" spans="1:30" s="151" customFormat="1" ht="30" x14ac:dyDescent="0.25">
      <c r="A41" s="192" t="s">
        <v>1024</v>
      </c>
      <c r="B41" s="193" t="s">
        <v>968</v>
      </c>
      <c r="C41" s="193" t="s">
        <v>106</v>
      </c>
      <c r="D41" s="194" t="s">
        <v>478</v>
      </c>
      <c r="E41" s="193" t="s">
        <v>143</v>
      </c>
      <c r="F41" s="195">
        <v>310.29999999999995</v>
      </c>
      <c r="G41" s="196">
        <v>20.789866681900001</v>
      </c>
      <c r="H41" s="196">
        <v>6451.0956313935694</v>
      </c>
      <c r="I41" s="197">
        <f t="shared" si="0"/>
        <v>5.4190518191557183E-3</v>
      </c>
      <c r="J41" s="198">
        <f t="shared" si="1"/>
        <v>0.77284898892112175</v>
      </c>
      <c r="K41" s="199" t="s">
        <v>278</v>
      </c>
    </row>
    <row r="42" spans="1:30" s="151" customFormat="1" x14ac:dyDescent="0.25">
      <c r="A42" s="192" t="s">
        <v>639</v>
      </c>
      <c r="B42" s="193" t="s">
        <v>994</v>
      </c>
      <c r="C42" s="193" t="s">
        <v>156</v>
      </c>
      <c r="D42" s="194" t="s">
        <v>634</v>
      </c>
      <c r="E42" s="193" t="s">
        <v>98</v>
      </c>
      <c r="F42" s="195">
        <v>98.399999999999991</v>
      </c>
      <c r="G42" s="196">
        <v>62.977748099999999</v>
      </c>
      <c r="H42" s="196">
        <v>6197.0104130399995</v>
      </c>
      <c r="I42" s="197">
        <f t="shared" si="0"/>
        <v>5.2056150568732078E-3</v>
      </c>
      <c r="J42" s="198">
        <f t="shared" si="1"/>
        <v>0.77805460397799497</v>
      </c>
      <c r="K42" s="199" t="s">
        <v>278</v>
      </c>
    </row>
    <row r="43" spans="1:30" s="151" customFormat="1" ht="30" x14ac:dyDescent="0.25">
      <c r="A43" s="192" t="s">
        <v>535</v>
      </c>
      <c r="B43" s="193" t="s">
        <v>440</v>
      </c>
      <c r="C43" s="193" t="s">
        <v>6</v>
      </c>
      <c r="D43" s="194" t="s">
        <v>902</v>
      </c>
      <c r="E43" s="193" t="s">
        <v>143</v>
      </c>
      <c r="F43" s="195">
        <v>231</v>
      </c>
      <c r="G43" s="196">
        <v>26.820929999999997</v>
      </c>
      <c r="H43" s="196">
        <v>6195.6348299999991</v>
      </c>
      <c r="I43" s="197">
        <f t="shared" si="0"/>
        <v>5.2044595390819291E-3</v>
      </c>
      <c r="J43" s="198">
        <f t="shared" si="1"/>
        <v>0.78325906351707686</v>
      </c>
      <c r="K43" s="199" t="s">
        <v>278</v>
      </c>
    </row>
    <row r="44" spans="1:30" s="151" customFormat="1" ht="30" x14ac:dyDescent="0.25">
      <c r="A44" s="192" t="s">
        <v>45</v>
      </c>
      <c r="B44" s="193" t="s">
        <v>665</v>
      </c>
      <c r="C44" s="193" t="s">
        <v>6</v>
      </c>
      <c r="D44" s="194" t="s">
        <v>635</v>
      </c>
      <c r="E44" s="193" t="s">
        <v>75</v>
      </c>
      <c r="F44" s="197">
        <v>5.0000000000000001E-3</v>
      </c>
      <c r="G44" s="196">
        <v>1183966.2788861701</v>
      </c>
      <c r="H44" s="196">
        <v>5919.8313944308511</v>
      </c>
      <c r="I44" s="197">
        <f t="shared" si="0"/>
        <v>4.9727790316690321E-3</v>
      </c>
      <c r="J44" s="198">
        <f t="shared" si="1"/>
        <v>0.7882318425487459</v>
      </c>
      <c r="K44" s="199" t="s">
        <v>278</v>
      </c>
    </row>
    <row r="45" spans="1:30" s="151" customFormat="1" ht="30" x14ac:dyDescent="0.25">
      <c r="A45" s="192" t="s">
        <v>537</v>
      </c>
      <c r="B45" s="193">
        <v>95801</v>
      </c>
      <c r="C45" s="193" t="s">
        <v>17</v>
      </c>
      <c r="D45" s="194" t="s">
        <v>444</v>
      </c>
      <c r="E45" s="193" t="s">
        <v>144</v>
      </c>
      <c r="F45" s="195">
        <v>118</v>
      </c>
      <c r="G45" s="196">
        <v>50.016748</v>
      </c>
      <c r="H45" s="196">
        <v>5901.9762639999999</v>
      </c>
      <c r="I45" s="197">
        <f t="shared" si="0"/>
        <v>4.9577803581767801E-3</v>
      </c>
      <c r="J45" s="198">
        <f t="shared" si="1"/>
        <v>0.79318962290692263</v>
      </c>
      <c r="K45" s="199" t="s">
        <v>278</v>
      </c>
    </row>
    <row r="46" spans="1:30" s="151" customFormat="1" x14ac:dyDescent="0.25">
      <c r="A46" s="192" t="s">
        <v>168</v>
      </c>
      <c r="B46" s="193" t="s">
        <v>979</v>
      </c>
      <c r="C46" s="193" t="s">
        <v>106</v>
      </c>
      <c r="D46" s="326" t="s">
        <v>613</v>
      </c>
      <c r="E46" s="193" t="s">
        <v>144</v>
      </c>
      <c r="F46" s="195">
        <v>5</v>
      </c>
      <c r="G46" s="196">
        <v>1133.4231089999998</v>
      </c>
      <c r="H46" s="196">
        <v>5667.1155449999987</v>
      </c>
      <c r="I46" s="197">
        <f t="shared" si="0"/>
        <v>4.7604925671926234E-3</v>
      </c>
      <c r="J46" s="198">
        <f t="shared" si="1"/>
        <v>0.79795011547411521</v>
      </c>
      <c r="K46" s="199" t="s">
        <v>278</v>
      </c>
    </row>
    <row r="47" spans="1:30" s="151" customFormat="1" ht="30" x14ac:dyDescent="0.25">
      <c r="A47" s="192" t="s">
        <v>507</v>
      </c>
      <c r="B47" s="193" t="s">
        <v>440</v>
      </c>
      <c r="C47" s="193" t="s">
        <v>6</v>
      </c>
      <c r="D47" s="194" t="s">
        <v>902</v>
      </c>
      <c r="E47" s="193" t="s">
        <v>143</v>
      </c>
      <c r="F47" s="195">
        <v>204</v>
      </c>
      <c r="G47" s="196">
        <v>26.820929999999997</v>
      </c>
      <c r="H47" s="196">
        <v>5471.4697199999991</v>
      </c>
      <c r="I47" s="197">
        <f t="shared" si="0"/>
        <v>4.5961460864619641E-3</v>
      </c>
      <c r="J47" s="198">
        <f t="shared" si="1"/>
        <v>0.80254626156057718</v>
      </c>
      <c r="K47" s="199" t="s">
        <v>278</v>
      </c>
    </row>
    <row r="48" spans="1:30" s="151" customFormat="1" ht="45" x14ac:dyDescent="0.25">
      <c r="A48" s="117" t="s">
        <v>69</v>
      </c>
      <c r="B48" s="113">
        <v>97331</v>
      </c>
      <c r="C48" s="113" t="s">
        <v>17</v>
      </c>
      <c r="D48" s="114" t="s">
        <v>610</v>
      </c>
      <c r="E48" s="113" t="s">
        <v>143</v>
      </c>
      <c r="F48" s="115">
        <v>162</v>
      </c>
      <c r="G48" s="116">
        <v>32.393314999999994</v>
      </c>
      <c r="H48" s="116">
        <v>5247.7170299999989</v>
      </c>
      <c r="I48" s="202">
        <f t="shared" si="0"/>
        <v>4.4081892662460528E-3</v>
      </c>
      <c r="J48" s="203">
        <f t="shared" si="1"/>
        <v>0.80695445082682327</v>
      </c>
      <c r="K48" s="118" t="s">
        <v>279</v>
      </c>
    </row>
    <row r="49" spans="1:11" s="151" customFormat="1" ht="30" x14ac:dyDescent="0.25">
      <c r="A49" s="117" t="s">
        <v>551</v>
      </c>
      <c r="B49" s="113" t="s">
        <v>439</v>
      </c>
      <c r="C49" s="113" t="s">
        <v>6</v>
      </c>
      <c r="D49" s="114" t="s">
        <v>438</v>
      </c>
      <c r="E49" s="113" t="s">
        <v>143</v>
      </c>
      <c r="F49" s="115">
        <v>138</v>
      </c>
      <c r="G49" s="116">
        <v>35.700004999999997</v>
      </c>
      <c r="H49" s="116">
        <v>4926.6006899999993</v>
      </c>
      <c r="I49" s="202">
        <f t="shared" si="0"/>
        <v>4.1384449955256834E-3</v>
      </c>
      <c r="J49" s="203">
        <f t="shared" si="1"/>
        <v>0.811092895822349</v>
      </c>
      <c r="K49" s="118" t="s">
        <v>279</v>
      </c>
    </row>
    <row r="50" spans="1:11" s="151" customFormat="1" x14ac:dyDescent="0.25">
      <c r="A50" s="117" t="s">
        <v>743</v>
      </c>
      <c r="B50" s="113">
        <v>10726</v>
      </c>
      <c r="C50" s="113" t="s">
        <v>140</v>
      </c>
      <c r="D50" s="114" t="s">
        <v>739</v>
      </c>
      <c r="E50" s="113" t="s">
        <v>144</v>
      </c>
      <c r="F50" s="115">
        <v>3</v>
      </c>
      <c r="G50" s="116">
        <v>1580.7815249999999</v>
      </c>
      <c r="H50" s="116">
        <v>4742.3445749999992</v>
      </c>
      <c r="I50" s="202">
        <f t="shared" si="0"/>
        <v>3.9836661033446005E-3</v>
      </c>
      <c r="J50" s="203">
        <f t="shared" si="1"/>
        <v>0.81507656192569355</v>
      </c>
      <c r="K50" s="118" t="s">
        <v>279</v>
      </c>
    </row>
    <row r="51" spans="1:11" s="151" customFormat="1" ht="30" x14ac:dyDescent="0.25">
      <c r="A51" s="117" t="s">
        <v>155</v>
      </c>
      <c r="B51" s="113">
        <v>91925</v>
      </c>
      <c r="C51" s="113" t="s">
        <v>17</v>
      </c>
      <c r="D51" s="114" t="s">
        <v>429</v>
      </c>
      <c r="E51" s="113" t="s">
        <v>143</v>
      </c>
      <c r="F51" s="115">
        <v>1075</v>
      </c>
      <c r="G51" s="116">
        <v>4.3599319999999997</v>
      </c>
      <c r="H51" s="116">
        <v>4686.9268999999995</v>
      </c>
      <c r="I51" s="202">
        <f t="shared" si="0"/>
        <v>3.9371141267996092E-3</v>
      </c>
      <c r="J51" s="203">
        <f t="shared" si="1"/>
        <v>0.8190136760524932</v>
      </c>
      <c r="K51" s="118" t="s">
        <v>279</v>
      </c>
    </row>
    <row r="52" spans="1:11" s="151" customFormat="1" ht="29.25" customHeight="1" x14ac:dyDescent="0.25">
      <c r="A52" s="117" t="s">
        <v>536</v>
      </c>
      <c r="B52" s="113" t="s">
        <v>442</v>
      </c>
      <c r="C52" s="113" t="s">
        <v>6</v>
      </c>
      <c r="D52" s="114" t="s">
        <v>441</v>
      </c>
      <c r="E52" s="113" t="s">
        <v>143</v>
      </c>
      <c r="F52" s="115">
        <v>168</v>
      </c>
      <c r="G52" s="116">
        <v>25.559488999999999</v>
      </c>
      <c r="H52" s="116">
        <v>4293.9941520000002</v>
      </c>
      <c r="I52" s="202">
        <f t="shared" si="0"/>
        <v>3.60704260956878E-3</v>
      </c>
      <c r="J52" s="203">
        <f t="shared" si="1"/>
        <v>0.82262071866206199</v>
      </c>
      <c r="K52" s="118" t="s">
        <v>279</v>
      </c>
    </row>
    <row r="53" spans="1:11" s="151" customFormat="1" x14ac:dyDescent="0.25">
      <c r="A53" s="117" t="s">
        <v>763</v>
      </c>
      <c r="B53" s="113" t="s">
        <v>36</v>
      </c>
      <c r="C53" s="114" t="s">
        <v>6</v>
      </c>
      <c r="D53" s="114" t="s">
        <v>35</v>
      </c>
      <c r="E53" s="113" t="s">
        <v>107</v>
      </c>
      <c r="F53" s="115">
        <v>462.87000000000006</v>
      </c>
      <c r="G53" s="116">
        <v>9.2342379999999995</v>
      </c>
      <c r="H53" s="116">
        <v>4274.2517430600001</v>
      </c>
      <c r="I53" s="202">
        <f t="shared" si="0"/>
        <v>3.5904585836615851E-3</v>
      </c>
      <c r="J53" s="203">
        <f t="shared" si="1"/>
        <v>0.82621117724572357</v>
      </c>
      <c r="K53" s="118" t="s">
        <v>279</v>
      </c>
    </row>
    <row r="54" spans="1:11" s="151" customFormat="1" x14ac:dyDescent="0.25">
      <c r="A54" s="117" t="s">
        <v>289</v>
      </c>
      <c r="B54" s="113" t="s">
        <v>964</v>
      </c>
      <c r="C54" s="113" t="s">
        <v>106</v>
      </c>
      <c r="D54" s="114" t="s">
        <v>104</v>
      </c>
      <c r="E54" s="113" t="s">
        <v>107</v>
      </c>
      <c r="F54" s="115">
        <v>75.908199999999979</v>
      </c>
      <c r="G54" s="116">
        <v>54.571452659259258</v>
      </c>
      <c r="H54" s="116">
        <v>4142.4207427495821</v>
      </c>
      <c r="I54" s="202">
        <f t="shared" si="0"/>
        <v>3.4797178563691941E-3</v>
      </c>
      <c r="J54" s="203">
        <f t="shared" si="1"/>
        <v>0.82969089510209282</v>
      </c>
      <c r="K54" s="118" t="s">
        <v>279</v>
      </c>
    </row>
    <row r="55" spans="1:11" s="151" customFormat="1" x14ac:dyDescent="0.25">
      <c r="A55" s="117" t="s">
        <v>1072</v>
      </c>
      <c r="B55" s="113">
        <v>11230</v>
      </c>
      <c r="C55" s="113" t="s">
        <v>140</v>
      </c>
      <c r="D55" s="114" t="s">
        <v>728</v>
      </c>
      <c r="E55" s="113" t="s">
        <v>144</v>
      </c>
      <c r="F55" s="115">
        <v>118</v>
      </c>
      <c r="G55" s="116">
        <v>34.438564</v>
      </c>
      <c r="H55" s="116">
        <v>4063.750552</v>
      </c>
      <c r="I55" s="202">
        <f t="shared" si="0"/>
        <v>3.4136332926525724E-3</v>
      </c>
      <c r="J55" s="203">
        <f t="shared" si="1"/>
        <v>0.83310452839474536</v>
      </c>
      <c r="K55" s="118" t="s">
        <v>279</v>
      </c>
    </row>
    <row r="56" spans="1:11" s="151" customFormat="1" x14ac:dyDescent="0.25">
      <c r="A56" s="117" t="s">
        <v>1071</v>
      </c>
      <c r="B56" s="113" t="s">
        <v>837</v>
      </c>
      <c r="C56" s="113" t="s">
        <v>106</v>
      </c>
      <c r="D56" s="114" t="s">
        <v>784</v>
      </c>
      <c r="E56" s="113" t="s">
        <v>144</v>
      </c>
      <c r="F56" s="115">
        <v>1</v>
      </c>
      <c r="G56" s="116">
        <v>4042.0978559999999</v>
      </c>
      <c r="H56" s="116">
        <v>4042.0978559999999</v>
      </c>
      <c r="I56" s="202">
        <f t="shared" si="0"/>
        <v>3.3954445866787499E-3</v>
      </c>
      <c r="J56" s="203">
        <f t="shared" si="1"/>
        <v>0.83649997298142409</v>
      </c>
      <c r="K56" s="118" t="s">
        <v>279</v>
      </c>
    </row>
    <row r="57" spans="1:11" s="151" customFormat="1" x14ac:dyDescent="0.25">
      <c r="A57" s="117" t="s">
        <v>762</v>
      </c>
      <c r="B57" s="113" t="s">
        <v>34</v>
      </c>
      <c r="C57" s="114" t="s">
        <v>6</v>
      </c>
      <c r="D57" s="114" t="s">
        <v>99</v>
      </c>
      <c r="E57" s="113" t="s">
        <v>175</v>
      </c>
      <c r="F57" s="115">
        <v>66</v>
      </c>
      <c r="G57" s="116">
        <v>61.234999999999992</v>
      </c>
      <c r="H57" s="116">
        <v>4041.5099999999993</v>
      </c>
      <c r="I57" s="202">
        <f t="shared" si="0"/>
        <v>3.3949507756568359E-3</v>
      </c>
      <c r="J57" s="203">
        <f t="shared" si="1"/>
        <v>0.83989492375708097</v>
      </c>
      <c r="K57" s="118" t="s">
        <v>279</v>
      </c>
    </row>
    <row r="58" spans="1:11" s="151" customFormat="1" ht="30" x14ac:dyDescent="0.25">
      <c r="A58" s="117" t="s">
        <v>294</v>
      </c>
      <c r="B58" s="113" t="s">
        <v>373</v>
      </c>
      <c r="C58" s="113" t="s">
        <v>6</v>
      </c>
      <c r="D58" s="114" t="s">
        <v>372</v>
      </c>
      <c r="E58" s="113" t="s">
        <v>107</v>
      </c>
      <c r="F58" s="115">
        <v>361.73999999999995</v>
      </c>
      <c r="G58" s="116">
        <v>10.985559</v>
      </c>
      <c r="H58" s="116">
        <v>3973.9161126599997</v>
      </c>
      <c r="I58" s="202">
        <f t="shared" si="0"/>
        <v>3.3381705325658644E-3</v>
      </c>
      <c r="J58" s="203">
        <f t="shared" si="1"/>
        <v>0.84323309428964688</v>
      </c>
      <c r="K58" s="118" t="s">
        <v>279</v>
      </c>
    </row>
    <row r="59" spans="1:11" s="151" customFormat="1" x14ac:dyDescent="0.25">
      <c r="A59" s="117" t="s">
        <v>1027</v>
      </c>
      <c r="B59" s="113" t="s">
        <v>834</v>
      </c>
      <c r="C59" s="113" t="s">
        <v>156</v>
      </c>
      <c r="D59" s="114" t="s">
        <v>419</v>
      </c>
      <c r="E59" s="113" t="s">
        <v>144</v>
      </c>
      <c r="F59" s="115">
        <v>24</v>
      </c>
      <c r="G59" s="116">
        <v>162.2225373</v>
      </c>
      <c r="H59" s="116">
        <v>3893.3408952</v>
      </c>
      <c r="I59" s="202">
        <f t="shared" si="0"/>
        <v>3.2704857075834828E-3</v>
      </c>
      <c r="J59" s="203">
        <f t="shared" si="1"/>
        <v>0.84650357999723036</v>
      </c>
      <c r="K59" s="118" t="s">
        <v>279</v>
      </c>
    </row>
    <row r="60" spans="1:11" s="151" customFormat="1" ht="30" x14ac:dyDescent="0.25">
      <c r="A60" s="117" t="s">
        <v>244</v>
      </c>
      <c r="B60" s="113" t="s">
        <v>996</v>
      </c>
      <c r="C60" s="113" t="s">
        <v>156</v>
      </c>
      <c r="D60" s="114" t="s">
        <v>869</v>
      </c>
      <c r="E60" s="113" t="s">
        <v>144</v>
      </c>
      <c r="F60" s="115">
        <v>4</v>
      </c>
      <c r="G60" s="116">
        <v>967.21907199999987</v>
      </c>
      <c r="H60" s="116">
        <v>3868.8762879999995</v>
      </c>
      <c r="I60" s="202">
        <f t="shared" si="0"/>
        <v>3.2499349388881733E-3</v>
      </c>
      <c r="J60" s="203">
        <f t="shared" si="1"/>
        <v>0.8497535149361185</v>
      </c>
      <c r="K60" s="118" t="s">
        <v>279</v>
      </c>
    </row>
    <row r="61" spans="1:11" s="151" customFormat="1" ht="30" x14ac:dyDescent="0.25">
      <c r="A61" s="117" t="s">
        <v>761</v>
      </c>
      <c r="B61" s="113" t="s">
        <v>32</v>
      </c>
      <c r="C61" s="114" t="s">
        <v>6</v>
      </c>
      <c r="D61" s="114" t="s">
        <v>33</v>
      </c>
      <c r="E61" s="113" t="s">
        <v>175</v>
      </c>
      <c r="F61" s="115">
        <v>75</v>
      </c>
      <c r="G61" s="116">
        <v>49.563608999999992</v>
      </c>
      <c r="H61" s="116">
        <v>3717.2706749999993</v>
      </c>
      <c r="I61" s="202">
        <f t="shared" si="0"/>
        <v>3.1225831338825487E-3</v>
      </c>
      <c r="J61" s="203">
        <f t="shared" si="1"/>
        <v>0.85287609807000109</v>
      </c>
      <c r="K61" s="118" t="s">
        <v>279</v>
      </c>
    </row>
    <row r="62" spans="1:11" s="151" customFormat="1" ht="30" x14ac:dyDescent="0.25">
      <c r="A62" s="117" t="s">
        <v>692</v>
      </c>
      <c r="B62" s="113" t="s">
        <v>370</v>
      </c>
      <c r="C62" s="113" t="s">
        <v>156</v>
      </c>
      <c r="D62" s="114" t="s">
        <v>342</v>
      </c>
      <c r="E62" s="115" t="s">
        <v>144</v>
      </c>
      <c r="F62" s="115">
        <v>144</v>
      </c>
      <c r="G62" s="116">
        <v>24.996126999999998</v>
      </c>
      <c r="H62" s="116">
        <v>3599.4422879999997</v>
      </c>
      <c r="I62" s="202">
        <f t="shared" si="0"/>
        <v>3.0236048871777176E-3</v>
      </c>
      <c r="J62" s="203">
        <f t="shared" si="1"/>
        <v>0.85589970295717877</v>
      </c>
      <c r="K62" s="118" t="s">
        <v>279</v>
      </c>
    </row>
    <row r="63" spans="1:11" s="151" customFormat="1" ht="30" x14ac:dyDescent="0.25">
      <c r="A63" s="117" t="s">
        <v>508</v>
      </c>
      <c r="B63" s="113" t="s">
        <v>442</v>
      </c>
      <c r="C63" s="113" t="s">
        <v>6</v>
      </c>
      <c r="D63" s="114" t="s">
        <v>441</v>
      </c>
      <c r="E63" s="113" t="s">
        <v>143</v>
      </c>
      <c r="F63" s="115">
        <v>138</v>
      </c>
      <c r="G63" s="116">
        <v>25.559488999999999</v>
      </c>
      <c r="H63" s="116">
        <v>3527.2094819999998</v>
      </c>
      <c r="I63" s="202">
        <f t="shared" si="0"/>
        <v>2.9629278578600692E-3</v>
      </c>
      <c r="J63" s="203">
        <f t="shared" si="1"/>
        <v>0.85886263081503889</v>
      </c>
      <c r="K63" s="118" t="s">
        <v>279</v>
      </c>
    </row>
    <row r="64" spans="1:11" s="151" customFormat="1" x14ac:dyDescent="0.25">
      <c r="A64" s="117" t="s">
        <v>548</v>
      </c>
      <c r="B64" s="113">
        <v>98305</v>
      </c>
      <c r="C64" s="113" t="s">
        <v>17</v>
      </c>
      <c r="D64" s="114" t="s">
        <v>735</v>
      </c>
      <c r="E64" s="113" t="s">
        <v>144</v>
      </c>
      <c r="F64" s="115">
        <v>1</v>
      </c>
      <c r="G64" s="116">
        <v>3463.2066599999998</v>
      </c>
      <c r="H64" s="116">
        <v>3463.2066599999998</v>
      </c>
      <c r="I64" s="202">
        <f t="shared" si="0"/>
        <v>2.9091641828492124E-3</v>
      </c>
      <c r="J64" s="203">
        <f t="shared" si="1"/>
        <v>0.86177179499788814</v>
      </c>
      <c r="K64" s="118" t="s">
        <v>279</v>
      </c>
    </row>
    <row r="65" spans="1:11" s="151" customFormat="1" x14ac:dyDescent="0.25">
      <c r="A65" s="117" t="s">
        <v>760</v>
      </c>
      <c r="B65" s="114" t="s">
        <v>1001</v>
      </c>
      <c r="C65" s="114" t="s">
        <v>156</v>
      </c>
      <c r="D65" s="114" t="s">
        <v>38</v>
      </c>
      <c r="E65" s="113" t="s">
        <v>107</v>
      </c>
      <c r="F65" s="115">
        <v>462.87000000000006</v>
      </c>
      <c r="G65" s="116">
        <v>7.086685522549999</v>
      </c>
      <c r="H65" s="116">
        <v>3280.2141278227186</v>
      </c>
      <c r="I65" s="202">
        <f t="shared" si="0"/>
        <v>2.7554467259940595E-3</v>
      </c>
      <c r="J65" s="203">
        <f t="shared" si="1"/>
        <v>0.86452724172388218</v>
      </c>
      <c r="K65" s="118" t="s">
        <v>279</v>
      </c>
    </row>
    <row r="66" spans="1:11" s="151" customFormat="1" ht="30" x14ac:dyDescent="0.25">
      <c r="A66" s="117" t="s">
        <v>1066</v>
      </c>
      <c r="B66" s="113">
        <v>92988</v>
      </c>
      <c r="C66" s="113" t="s">
        <v>17</v>
      </c>
      <c r="D66" s="114" t="s">
        <v>895</v>
      </c>
      <c r="E66" s="113" t="s">
        <v>143</v>
      </c>
      <c r="F66" s="115">
        <v>48</v>
      </c>
      <c r="G66" s="116">
        <v>67.431981999999991</v>
      </c>
      <c r="H66" s="116">
        <v>3236.7351359999993</v>
      </c>
      <c r="I66" s="202">
        <f t="shared" si="0"/>
        <v>2.7189234866569511E-3</v>
      </c>
      <c r="J66" s="203">
        <f t="shared" si="1"/>
        <v>0.8672461652105391</v>
      </c>
      <c r="K66" s="118" t="s">
        <v>279</v>
      </c>
    </row>
    <row r="67" spans="1:11" s="151" customFormat="1" x14ac:dyDescent="0.25">
      <c r="A67" s="117" t="s">
        <v>169</v>
      </c>
      <c r="B67" s="113" t="s">
        <v>980</v>
      </c>
      <c r="C67" s="113" t="s">
        <v>106</v>
      </c>
      <c r="D67" s="327" t="s">
        <v>612</v>
      </c>
      <c r="E67" s="113" t="s">
        <v>144</v>
      </c>
      <c r="F67" s="115">
        <v>2</v>
      </c>
      <c r="G67" s="116">
        <v>1567.089379</v>
      </c>
      <c r="H67" s="116">
        <v>3134.178758</v>
      </c>
      <c r="I67" s="202">
        <f t="shared" si="0"/>
        <v>2.6327740387922533E-3</v>
      </c>
      <c r="J67" s="203">
        <f t="shared" si="1"/>
        <v>0.86987893924933135</v>
      </c>
      <c r="K67" s="118" t="s">
        <v>279</v>
      </c>
    </row>
    <row r="68" spans="1:11" s="151" customFormat="1" ht="30" customHeight="1" x14ac:dyDescent="0.25">
      <c r="A68" s="117" t="s">
        <v>237</v>
      </c>
      <c r="B68" s="204" t="s">
        <v>257</v>
      </c>
      <c r="C68" s="113" t="s">
        <v>156</v>
      </c>
      <c r="D68" s="114" t="s">
        <v>851</v>
      </c>
      <c r="E68" s="113" t="s">
        <v>144</v>
      </c>
      <c r="F68" s="115">
        <v>2</v>
      </c>
      <c r="G68" s="116">
        <v>1555.3689999999999</v>
      </c>
      <c r="H68" s="116">
        <v>3110.7379999999998</v>
      </c>
      <c r="I68" s="202">
        <f t="shared" si="0"/>
        <v>2.6130833242934436E-3</v>
      </c>
      <c r="J68" s="203">
        <f t="shared" si="1"/>
        <v>0.87249202257362479</v>
      </c>
      <c r="K68" s="118" t="s">
        <v>279</v>
      </c>
    </row>
    <row r="69" spans="1:11" s="151" customFormat="1" ht="30" x14ac:dyDescent="0.25">
      <c r="A69" s="117" t="s">
        <v>552</v>
      </c>
      <c r="B69" s="113" t="s">
        <v>672</v>
      </c>
      <c r="C69" s="113" t="s">
        <v>6</v>
      </c>
      <c r="D69" s="114" t="s">
        <v>671</v>
      </c>
      <c r="E69" s="113" t="s">
        <v>143</v>
      </c>
      <c r="F69" s="115">
        <v>108</v>
      </c>
      <c r="G69" s="116">
        <v>28.657979999999995</v>
      </c>
      <c r="H69" s="116">
        <v>3095.0618399999994</v>
      </c>
      <c r="I69" s="202">
        <f t="shared" si="0"/>
        <v>2.599915030375744E-3</v>
      </c>
      <c r="J69" s="203">
        <f t="shared" si="1"/>
        <v>0.8750919376040005</v>
      </c>
      <c r="K69" s="118" t="s">
        <v>279</v>
      </c>
    </row>
    <row r="70" spans="1:11" s="151" customFormat="1" ht="30" x14ac:dyDescent="0.25">
      <c r="A70" s="117" t="s">
        <v>704</v>
      </c>
      <c r="B70" s="113" t="s">
        <v>674</v>
      </c>
      <c r="C70" s="113" t="s">
        <v>6</v>
      </c>
      <c r="D70" s="114" t="s">
        <v>673</v>
      </c>
      <c r="E70" s="113" t="s">
        <v>144</v>
      </c>
      <c r="F70" s="115">
        <v>29</v>
      </c>
      <c r="G70" s="116">
        <v>105.65486899999999</v>
      </c>
      <c r="H70" s="116">
        <v>3063.9912009999998</v>
      </c>
      <c r="I70" s="202">
        <f t="shared" ref="I70:I133" si="2">H70/$H$265</f>
        <v>2.5738150603216796E-3</v>
      </c>
      <c r="J70" s="203">
        <f t="shared" si="1"/>
        <v>0.87766575266432223</v>
      </c>
      <c r="K70" s="118" t="s">
        <v>279</v>
      </c>
    </row>
    <row r="71" spans="1:11" s="151" customFormat="1" ht="30" x14ac:dyDescent="0.25">
      <c r="A71" s="117" t="s">
        <v>706</v>
      </c>
      <c r="B71" s="113" t="s">
        <v>839</v>
      </c>
      <c r="C71" s="113" t="s">
        <v>106</v>
      </c>
      <c r="D71" s="114" t="s">
        <v>722</v>
      </c>
      <c r="E71" s="113" t="s">
        <v>144</v>
      </c>
      <c r="F71" s="115">
        <v>14</v>
      </c>
      <c r="G71" s="116">
        <v>213.03289089999998</v>
      </c>
      <c r="H71" s="116">
        <v>2982.4604725999998</v>
      </c>
      <c r="I71" s="202">
        <f t="shared" si="2"/>
        <v>2.5053275866740955E-3</v>
      </c>
      <c r="J71" s="203">
        <f t="shared" si="1"/>
        <v>0.88017108025099633</v>
      </c>
      <c r="K71" s="118" t="s">
        <v>279</v>
      </c>
    </row>
    <row r="72" spans="1:11" s="151" customFormat="1" ht="30" x14ac:dyDescent="0.25">
      <c r="A72" s="117" t="s">
        <v>558</v>
      </c>
      <c r="B72" s="204" t="s">
        <v>265</v>
      </c>
      <c r="C72" s="113" t="s">
        <v>156</v>
      </c>
      <c r="D72" s="114" t="s">
        <v>859</v>
      </c>
      <c r="E72" s="113" t="s">
        <v>144</v>
      </c>
      <c r="F72" s="115">
        <v>2</v>
      </c>
      <c r="G72" s="116">
        <v>1371.664</v>
      </c>
      <c r="H72" s="116">
        <v>2743.328</v>
      </c>
      <c r="I72" s="202">
        <f t="shared" si="2"/>
        <v>2.304451435597368E-3</v>
      </c>
      <c r="J72" s="203">
        <f t="shared" ref="J72:J135" si="3">J71+I72</f>
        <v>0.88247553168659365</v>
      </c>
      <c r="K72" s="118" t="s">
        <v>279</v>
      </c>
    </row>
    <row r="73" spans="1:11" s="151" customFormat="1" x14ac:dyDescent="0.25">
      <c r="A73" s="117" t="s">
        <v>1052</v>
      </c>
      <c r="B73" s="113">
        <v>10620</v>
      </c>
      <c r="C73" s="113" t="s">
        <v>140</v>
      </c>
      <c r="D73" s="114" t="s">
        <v>462</v>
      </c>
      <c r="E73" s="113" t="s">
        <v>144</v>
      </c>
      <c r="F73" s="115">
        <v>500</v>
      </c>
      <c r="G73" s="116">
        <v>5.3519389999999998</v>
      </c>
      <c r="H73" s="116">
        <v>2675.9694999999997</v>
      </c>
      <c r="I73" s="202">
        <f t="shared" si="2"/>
        <v>2.2478689226697536E-3</v>
      </c>
      <c r="J73" s="203">
        <f t="shared" si="3"/>
        <v>0.88472340060926336</v>
      </c>
      <c r="K73" s="118" t="s">
        <v>279</v>
      </c>
    </row>
    <row r="74" spans="1:11" s="151" customFormat="1" ht="30" x14ac:dyDescent="0.25">
      <c r="A74" s="117" t="s">
        <v>509</v>
      </c>
      <c r="B74" s="113">
        <v>95801</v>
      </c>
      <c r="C74" s="113" t="s">
        <v>17</v>
      </c>
      <c r="D74" s="114" t="s">
        <v>444</v>
      </c>
      <c r="E74" s="113" t="s">
        <v>144</v>
      </c>
      <c r="F74" s="115">
        <v>53</v>
      </c>
      <c r="G74" s="116">
        <v>50.016748</v>
      </c>
      <c r="H74" s="116">
        <v>2650.8876439999999</v>
      </c>
      <c r="I74" s="202">
        <f t="shared" si="2"/>
        <v>2.2267996524014352E-3</v>
      </c>
      <c r="J74" s="203">
        <f t="shared" si="3"/>
        <v>0.88695020026166482</v>
      </c>
      <c r="K74" s="118" t="s">
        <v>279</v>
      </c>
    </row>
    <row r="75" spans="1:11" s="151" customFormat="1" x14ac:dyDescent="0.25">
      <c r="A75" s="117" t="s">
        <v>702</v>
      </c>
      <c r="B75" s="113">
        <v>10268</v>
      </c>
      <c r="C75" s="113" t="s">
        <v>140</v>
      </c>
      <c r="D75" s="114" t="s">
        <v>687</v>
      </c>
      <c r="E75" s="113" t="s">
        <v>144</v>
      </c>
      <c r="F75" s="115">
        <v>61</v>
      </c>
      <c r="G75" s="116">
        <v>43.109439999999999</v>
      </c>
      <c r="H75" s="116">
        <v>2629.6758399999999</v>
      </c>
      <c r="I75" s="202">
        <f t="shared" si="2"/>
        <v>2.2089813046940483E-3</v>
      </c>
      <c r="J75" s="203">
        <f t="shared" si="3"/>
        <v>0.88915918156635887</v>
      </c>
      <c r="K75" s="118" t="s">
        <v>279</v>
      </c>
    </row>
    <row r="76" spans="1:11" s="151" customFormat="1" ht="45" x14ac:dyDescent="0.25">
      <c r="A76" s="117" t="s">
        <v>49</v>
      </c>
      <c r="B76" s="113" t="s">
        <v>363</v>
      </c>
      <c r="C76" s="113" t="s">
        <v>6</v>
      </c>
      <c r="D76" s="114" t="s">
        <v>364</v>
      </c>
      <c r="E76" s="113" t="s">
        <v>107</v>
      </c>
      <c r="F76" s="115">
        <v>371.42999999999995</v>
      </c>
      <c r="G76" s="116">
        <v>6.8950609999999992</v>
      </c>
      <c r="H76" s="116">
        <v>2561.0325072299993</v>
      </c>
      <c r="I76" s="202">
        <f t="shared" si="2"/>
        <v>2.1513195060516637E-3</v>
      </c>
      <c r="J76" s="203">
        <f t="shared" si="3"/>
        <v>0.8913105010724105</v>
      </c>
      <c r="K76" s="118" t="s">
        <v>279</v>
      </c>
    </row>
    <row r="77" spans="1:11" s="151" customFormat="1" ht="30" x14ac:dyDescent="0.25">
      <c r="A77" s="117" t="s">
        <v>242</v>
      </c>
      <c r="B77" s="204" t="s">
        <v>264</v>
      </c>
      <c r="C77" s="113" t="s">
        <v>156</v>
      </c>
      <c r="D77" s="114" t="s">
        <v>856</v>
      </c>
      <c r="E77" s="113" t="s">
        <v>144</v>
      </c>
      <c r="F77" s="115">
        <v>2</v>
      </c>
      <c r="G77" s="116">
        <v>1273.6879999999999</v>
      </c>
      <c r="H77" s="116">
        <v>2547.3759999999997</v>
      </c>
      <c r="I77" s="202">
        <f t="shared" si="2"/>
        <v>2.139847761626127E-3</v>
      </c>
      <c r="J77" s="203">
        <f t="shared" si="3"/>
        <v>0.89345034883403662</v>
      </c>
      <c r="K77" s="118" t="s">
        <v>279</v>
      </c>
    </row>
    <row r="78" spans="1:11" s="151" customFormat="1" ht="30" x14ac:dyDescent="0.25">
      <c r="A78" s="117" t="s">
        <v>636</v>
      </c>
      <c r="B78" s="113" t="s">
        <v>984</v>
      </c>
      <c r="C78" s="113" t="s">
        <v>156</v>
      </c>
      <c r="D78" s="114" t="s">
        <v>680</v>
      </c>
      <c r="E78" s="113" t="s">
        <v>144</v>
      </c>
      <c r="F78" s="115">
        <v>2</v>
      </c>
      <c r="G78" s="116">
        <v>1241.6905080399999</v>
      </c>
      <c r="H78" s="116">
        <v>2483.3810160799999</v>
      </c>
      <c r="I78" s="202">
        <f t="shared" si="2"/>
        <v>2.0860906707622297E-3</v>
      </c>
      <c r="J78" s="203">
        <f t="shared" si="3"/>
        <v>0.89553643950479889</v>
      </c>
      <c r="K78" s="118" t="s">
        <v>279</v>
      </c>
    </row>
    <row r="79" spans="1:11" s="151" customFormat="1" x14ac:dyDescent="0.25">
      <c r="A79" s="117" t="s">
        <v>564</v>
      </c>
      <c r="B79" s="113" t="s">
        <v>989</v>
      </c>
      <c r="C79" s="113" t="s">
        <v>156</v>
      </c>
      <c r="D79" s="114" t="s">
        <v>566</v>
      </c>
      <c r="E79" s="115" t="s">
        <v>144</v>
      </c>
      <c r="F79" s="115">
        <v>49</v>
      </c>
      <c r="G79" s="116">
        <v>49.992253999999996</v>
      </c>
      <c r="H79" s="116">
        <v>2449.6204459999999</v>
      </c>
      <c r="I79" s="202">
        <f t="shared" si="2"/>
        <v>2.0577311037737246E-3</v>
      </c>
      <c r="J79" s="203">
        <f t="shared" si="3"/>
        <v>0.89759417060857261</v>
      </c>
      <c r="K79" s="118" t="s">
        <v>279</v>
      </c>
    </row>
    <row r="80" spans="1:11" s="151" customFormat="1" ht="30" x14ac:dyDescent="0.25">
      <c r="A80" s="117" t="s">
        <v>241</v>
      </c>
      <c r="B80" s="204" t="s">
        <v>263</v>
      </c>
      <c r="C80" s="113" t="s">
        <v>156</v>
      </c>
      <c r="D80" s="114" t="s">
        <v>855</v>
      </c>
      <c r="E80" s="113" t="s">
        <v>144</v>
      </c>
      <c r="F80" s="115">
        <v>2</v>
      </c>
      <c r="G80" s="116">
        <v>1224.6999999999998</v>
      </c>
      <c r="H80" s="116">
        <v>2449.3999999999996</v>
      </c>
      <c r="I80" s="202">
        <f t="shared" si="2"/>
        <v>2.0575459246405066E-3</v>
      </c>
      <c r="J80" s="203">
        <f t="shared" si="3"/>
        <v>0.89965171653321307</v>
      </c>
      <c r="K80" s="118" t="s">
        <v>279</v>
      </c>
    </row>
    <row r="81" spans="1:11" s="151" customFormat="1" ht="30" x14ac:dyDescent="0.25">
      <c r="A81" s="117" t="s">
        <v>488</v>
      </c>
      <c r="B81" s="113">
        <v>92988</v>
      </c>
      <c r="C81" s="113" t="s">
        <v>17</v>
      </c>
      <c r="D81" s="114" t="s">
        <v>895</v>
      </c>
      <c r="E81" s="113" t="s">
        <v>143</v>
      </c>
      <c r="F81" s="115">
        <v>36</v>
      </c>
      <c r="G81" s="116">
        <v>67.431981999999991</v>
      </c>
      <c r="H81" s="116">
        <v>2427.5513519999995</v>
      </c>
      <c r="I81" s="202">
        <f t="shared" si="2"/>
        <v>2.039192614992713E-3</v>
      </c>
      <c r="J81" s="203">
        <f t="shared" si="3"/>
        <v>0.90169090914820582</v>
      </c>
      <c r="K81" s="118" t="s">
        <v>279</v>
      </c>
    </row>
    <row r="82" spans="1:11" s="151" customFormat="1" ht="30" x14ac:dyDescent="0.25">
      <c r="A82" s="117" t="s">
        <v>500</v>
      </c>
      <c r="B82" s="113" t="s">
        <v>428</v>
      </c>
      <c r="C82" s="113" t="s">
        <v>6</v>
      </c>
      <c r="D82" s="114" t="s">
        <v>427</v>
      </c>
      <c r="E82" s="113" t="s">
        <v>143</v>
      </c>
      <c r="F82" s="115">
        <v>150</v>
      </c>
      <c r="G82" s="116">
        <v>16.166039999999999</v>
      </c>
      <c r="H82" s="116">
        <v>2424.9059999999999</v>
      </c>
      <c r="I82" s="202">
        <f t="shared" si="2"/>
        <v>2.0369704653941017E-3</v>
      </c>
      <c r="J82" s="203">
        <f t="shared" si="3"/>
        <v>0.9037278796135999</v>
      </c>
      <c r="K82" s="118" t="s">
        <v>279</v>
      </c>
    </row>
    <row r="83" spans="1:11" s="151" customFormat="1" ht="30" x14ac:dyDescent="0.25">
      <c r="A83" s="117" t="s">
        <v>240</v>
      </c>
      <c r="B83" s="204" t="s">
        <v>260</v>
      </c>
      <c r="C83" s="204" t="s">
        <v>156</v>
      </c>
      <c r="D83" s="114" t="s">
        <v>854</v>
      </c>
      <c r="E83" s="113" t="s">
        <v>144</v>
      </c>
      <c r="F83" s="115">
        <v>2</v>
      </c>
      <c r="G83" s="116">
        <v>1175.712</v>
      </c>
      <c r="H83" s="116">
        <v>2351.424</v>
      </c>
      <c r="I83" s="202">
        <f t="shared" si="2"/>
        <v>1.9752440876548865E-3</v>
      </c>
      <c r="J83" s="203">
        <f t="shared" si="3"/>
        <v>0.90570312370125483</v>
      </c>
      <c r="K83" s="118" t="s">
        <v>279</v>
      </c>
    </row>
    <row r="84" spans="1:11" s="151" customFormat="1" x14ac:dyDescent="0.25">
      <c r="A84" s="117" t="s">
        <v>785</v>
      </c>
      <c r="B84" s="113" t="s">
        <v>1000</v>
      </c>
      <c r="C84" s="113" t="s">
        <v>156</v>
      </c>
      <c r="D84" s="114" t="s">
        <v>786</v>
      </c>
      <c r="E84" s="113" t="s">
        <v>143</v>
      </c>
      <c r="F84" s="115">
        <v>81.675000000000011</v>
      </c>
      <c r="G84" s="116">
        <v>28.768202999999996</v>
      </c>
      <c r="H84" s="116">
        <v>2349.6429800249998</v>
      </c>
      <c r="I84" s="202">
        <f t="shared" si="2"/>
        <v>1.9737479945744324E-3</v>
      </c>
      <c r="J84" s="203">
        <f t="shared" si="3"/>
        <v>0.90767687169582922</v>
      </c>
      <c r="K84" s="118" t="s">
        <v>279</v>
      </c>
    </row>
    <row r="85" spans="1:11" s="151" customFormat="1" x14ac:dyDescent="0.25">
      <c r="A85" s="117" t="s">
        <v>550</v>
      </c>
      <c r="B85" s="113" t="s">
        <v>467</v>
      </c>
      <c r="C85" s="113" t="s">
        <v>6</v>
      </c>
      <c r="D85" s="114" t="s">
        <v>466</v>
      </c>
      <c r="E85" s="113" t="s">
        <v>144</v>
      </c>
      <c r="F85" s="115">
        <v>118</v>
      </c>
      <c r="G85" s="116">
        <v>19.252284</v>
      </c>
      <c r="H85" s="116">
        <v>2271.7695119999998</v>
      </c>
      <c r="I85" s="202">
        <f t="shared" si="2"/>
        <v>1.9083326941855773E-3</v>
      </c>
      <c r="J85" s="203">
        <f t="shared" si="3"/>
        <v>0.90958520439001478</v>
      </c>
      <c r="K85" s="118" t="s">
        <v>279</v>
      </c>
    </row>
    <row r="86" spans="1:11" s="151" customFormat="1" x14ac:dyDescent="0.25">
      <c r="A86" s="117" t="s">
        <v>546</v>
      </c>
      <c r="B86" s="113">
        <v>3252</v>
      </c>
      <c r="C86" s="113" t="s">
        <v>140</v>
      </c>
      <c r="D86" s="114" t="s">
        <v>435</v>
      </c>
      <c r="E86" s="113" t="s">
        <v>144</v>
      </c>
      <c r="F86" s="115">
        <v>2000</v>
      </c>
      <c r="G86" s="116">
        <v>1.1267240000000001</v>
      </c>
      <c r="H86" s="116">
        <v>2253.4480000000003</v>
      </c>
      <c r="I86" s="202">
        <f t="shared" si="2"/>
        <v>1.8929422506692667E-3</v>
      </c>
      <c r="J86" s="203">
        <f t="shared" si="3"/>
        <v>0.91147814664068405</v>
      </c>
      <c r="K86" s="118" t="s">
        <v>279</v>
      </c>
    </row>
    <row r="87" spans="1:11" s="151" customFormat="1" x14ac:dyDescent="0.25">
      <c r="A87" s="117" t="s">
        <v>530</v>
      </c>
      <c r="B87" s="113" t="s">
        <v>159</v>
      </c>
      <c r="C87" s="113" t="s">
        <v>156</v>
      </c>
      <c r="D87" s="114" t="s">
        <v>404</v>
      </c>
      <c r="E87" s="113" t="s">
        <v>144</v>
      </c>
      <c r="F87" s="115">
        <v>6</v>
      </c>
      <c r="G87" s="116">
        <v>366.15039604999998</v>
      </c>
      <c r="H87" s="116">
        <v>2196.9023763</v>
      </c>
      <c r="I87" s="202">
        <f t="shared" si="2"/>
        <v>1.8454427742259779E-3</v>
      </c>
      <c r="J87" s="203">
        <f t="shared" si="3"/>
        <v>0.91332358941490999</v>
      </c>
      <c r="K87" s="118" t="s">
        <v>279</v>
      </c>
    </row>
    <row r="88" spans="1:11" s="151" customFormat="1" ht="30" x14ac:dyDescent="0.25">
      <c r="A88" s="117" t="s">
        <v>1047</v>
      </c>
      <c r="B88" s="113">
        <v>92005</v>
      </c>
      <c r="C88" s="113" t="s">
        <v>17</v>
      </c>
      <c r="D88" s="114" t="s">
        <v>454</v>
      </c>
      <c r="E88" s="113" t="s">
        <v>144</v>
      </c>
      <c r="F88" s="115">
        <v>30</v>
      </c>
      <c r="G88" s="116">
        <v>72.453251999999992</v>
      </c>
      <c r="H88" s="116">
        <v>2173.5975599999997</v>
      </c>
      <c r="I88" s="202">
        <f t="shared" si="2"/>
        <v>1.8258662535259856E-3</v>
      </c>
      <c r="J88" s="203">
        <f t="shared" si="3"/>
        <v>0.91514945566843597</v>
      </c>
      <c r="K88" s="118" t="s">
        <v>279</v>
      </c>
    </row>
    <row r="89" spans="1:11" s="151" customFormat="1" x14ac:dyDescent="0.25">
      <c r="A89" s="117" t="s">
        <v>638</v>
      </c>
      <c r="B89" s="113" t="s">
        <v>993</v>
      </c>
      <c r="C89" s="113" t="s">
        <v>156</v>
      </c>
      <c r="D89" s="114" t="s">
        <v>632</v>
      </c>
      <c r="E89" s="113" t="s">
        <v>144</v>
      </c>
      <c r="F89" s="115">
        <v>12</v>
      </c>
      <c r="G89" s="116">
        <v>165.028325</v>
      </c>
      <c r="H89" s="116">
        <v>1980.3398999999999</v>
      </c>
      <c r="I89" s="202">
        <f t="shared" si="2"/>
        <v>1.6635258800718499E-3</v>
      </c>
      <c r="J89" s="203">
        <f t="shared" si="3"/>
        <v>0.91681298154850788</v>
      </c>
      <c r="K89" s="118" t="s">
        <v>279</v>
      </c>
    </row>
    <row r="90" spans="1:11" s="151" customFormat="1" ht="30" x14ac:dyDescent="0.25">
      <c r="A90" s="117" t="s">
        <v>1034</v>
      </c>
      <c r="B90" s="113">
        <v>7384</v>
      </c>
      <c r="C90" s="113" t="s">
        <v>140</v>
      </c>
      <c r="D90" s="114" t="s">
        <v>918</v>
      </c>
      <c r="E90" s="113" t="s">
        <v>143</v>
      </c>
      <c r="F90" s="115">
        <v>69</v>
      </c>
      <c r="G90" s="116">
        <v>28.413039999999995</v>
      </c>
      <c r="H90" s="116">
        <v>1960.4997599999997</v>
      </c>
      <c r="I90" s="202">
        <f t="shared" si="2"/>
        <v>1.6468597580822615E-3</v>
      </c>
      <c r="J90" s="203">
        <f t="shared" si="3"/>
        <v>0.91845984130659009</v>
      </c>
      <c r="K90" s="118" t="s">
        <v>279</v>
      </c>
    </row>
    <row r="91" spans="1:11" s="151" customFormat="1" x14ac:dyDescent="0.25">
      <c r="A91" s="117" t="s">
        <v>1049</v>
      </c>
      <c r="B91" s="113">
        <v>12500</v>
      </c>
      <c r="C91" s="113" t="s">
        <v>140</v>
      </c>
      <c r="D91" s="114" t="s">
        <v>919</v>
      </c>
      <c r="E91" s="113" t="s">
        <v>144</v>
      </c>
      <c r="F91" s="115">
        <v>231</v>
      </c>
      <c r="G91" s="116">
        <v>8.4136889999999998</v>
      </c>
      <c r="H91" s="116">
        <v>1943.5621589999998</v>
      </c>
      <c r="I91" s="202">
        <f t="shared" si="2"/>
        <v>1.6326318280133725E-3</v>
      </c>
      <c r="J91" s="203">
        <f t="shared" si="3"/>
        <v>0.92009247313460341</v>
      </c>
      <c r="K91" s="118" t="s">
        <v>279</v>
      </c>
    </row>
    <row r="92" spans="1:11" s="151" customFormat="1" x14ac:dyDescent="0.25">
      <c r="A92" s="117" t="s">
        <v>164</v>
      </c>
      <c r="B92" s="113" t="s">
        <v>975</v>
      </c>
      <c r="C92" s="113" t="s">
        <v>106</v>
      </c>
      <c r="D92" s="327" t="s">
        <v>584</v>
      </c>
      <c r="E92" s="113" t="s">
        <v>144</v>
      </c>
      <c r="F92" s="115">
        <v>18</v>
      </c>
      <c r="G92" s="116">
        <v>107.5996926</v>
      </c>
      <c r="H92" s="116">
        <v>1936.7944668</v>
      </c>
      <c r="I92" s="202">
        <f t="shared" si="2"/>
        <v>1.626946828623591E-3</v>
      </c>
      <c r="J92" s="203">
        <f t="shared" si="3"/>
        <v>0.92171941996322704</v>
      </c>
      <c r="K92" s="118" t="s">
        <v>279</v>
      </c>
    </row>
    <row r="93" spans="1:11" s="151" customFormat="1" ht="30" x14ac:dyDescent="0.25">
      <c r="A93" s="117" t="s">
        <v>293</v>
      </c>
      <c r="B93" s="113" t="s">
        <v>366</v>
      </c>
      <c r="C93" s="113" t="s">
        <v>156</v>
      </c>
      <c r="D93" s="114" t="s">
        <v>365</v>
      </c>
      <c r="E93" s="115" t="s">
        <v>107</v>
      </c>
      <c r="F93" s="115">
        <v>141.73779999999999</v>
      </c>
      <c r="G93" s="116">
        <v>13.503510144702201</v>
      </c>
      <c r="H93" s="116">
        <v>1913.9578201877714</v>
      </c>
      <c r="I93" s="202">
        <f t="shared" si="2"/>
        <v>1.6077635800037468E-3</v>
      </c>
      <c r="J93" s="203">
        <f t="shared" si="3"/>
        <v>0.92332718354323073</v>
      </c>
      <c r="K93" s="118" t="s">
        <v>279</v>
      </c>
    </row>
    <row r="94" spans="1:11" s="151" customFormat="1" x14ac:dyDescent="0.25">
      <c r="A94" s="117" t="s">
        <v>745</v>
      </c>
      <c r="B94" s="113" t="s">
        <v>732</v>
      </c>
      <c r="C94" s="113" t="s">
        <v>6</v>
      </c>
      <c r="D94" s="114" t="s">
        <v>731</v>
      </c>
      <c r="E94" s="113" t="s">
        <v>144</v>
      </c>
      <c r="F94" s="115">
        <v>14</v>
      </c>
      <c r="G94" s="116">
        <v>135.41507899999999</v>
      </c>
      <c r="H94" s="116">
        <v>1895.8111059999999</v>
      </c>
      <c r="I94" s="202">
        <f t="shared" si="2"/>
        <v>1.592519970212506E-3</v>
      </c>
      <c r="J94" s="203">
        <f t="shared" si="3"/>
        <v>0.92491970351344321</v>
      </c>
      <c r="K94" s="118" t="s">
        <v>279</v>
      </c>
    </row>
    <row r="95" spans="1:11" s="151" customFormat="1" x14ac:dyDescent="0.25">
      <c r="A95" s="117" t="s">
        <v>539</v>
      </c>
      <c r="B95" s="113">
        <v>10327</v>
      </c>
      <c r="C95" s="113" t="s">
        <v>140</v>
      </c>
      <c r="D95" s="114" t="s">
        <v>670</v>
      </c>
      <c r="E95" s="113" t="s">
        <v>144</v>
      </c>
      <c r="F95" s="115">
        <v>231</v>
      </c>
      <c r="G95" s="116">
        <v>7.7401039999999997</v>
      </c>
      <c r="H95" s="116">
        <v>1787.9640239999999</v>
      </c>
      <c r="I95" s="202">
        <f t="shared" si="2"/>
        <v>1.5019262231505844E-3</v>
      </c>
      <c r="J95" s="203">
        <f t="shared" si="3"/>
        <v>0.92642162973659381</v>
      </c>
      <c r="K95" s="118" t="s">
        <v>279</v>
      </c>
    </row>
    <row r="96" spans="1:11" s="151" customFormat="1" ht="30" x14ac:dyDescent="0.25">
      <c r="A96" s="117" t="s">
        <v>526</v>
      </c>
      <c r="B96" s="113">
        <v>91997</v>
      </c>
      <c r="C96" s="113" t="s">
        <v>17</v>
      </c>
      <c r="D96" s="114" t="s">
        <v>453</v>
      </c>
      <c r="E96" s="113" t="s">
        <v>144</v>
      </c>
      <c r="F96" s="115">
        <v>38</v>
      </c>
      <c r="G96" s="116">
        <v>44.775031999999996</v>
      </c>
      <c r="H96" s="116">
        <v>1701.4512159999999</v>
      </c>
      <c r="I96" s="202">
        <f t="shared" si="2"/>
        <v>1.4292537010922818E-3</v>
      </c>
      <c r="J96" s="203">
        <f t="shared" si="3"/>
        <v>0.92785088343768607</v>
      </c>
      <c r="K96" s="118" t="s">
        <v>279</v>
      </c>
    </row>
    <row r="97" spans="1:11" s="151" customFormat="1" x14ac:dyDescent="0.25">
      <c r="A97" s="117" t="s">
        <v>683</v>
      </c>
      <c r="B97" s="113" t="s">
        <v>382</v>
      </c>
      <c r="C97" s="113" t="s">
        <v>156</v>
      </c>
      <c r="D97" s="114" t="s">
        <v>684</v>
      </c>
      <c r="E97" s="113" t="s">
        <v>474</v>
      </c>
      <c r="F97" s="115">
        <v>12</v>
      </c>
      <c r="G97" s="116">
        <v>139.75051699999997</v>
      </c>
      <c r="H97" s="116">
        <v>1677.0062039999998</v>
      </c>
      <c r="I97" s="202">
        <f t="shared" si="2"/>
        <v>1.4087193927643693E-3</v>
      </c>
      <c r="J97" s="203">
        <f t="shared" si="3"/>
        <v>0.92925960283045039</v>
      </c>
      <c r="K97" s="118" t="s">
        <v>279</v>
      </c>
    </row>
    <row r="98" spans="1:11" s="151" customFormat="1" ht="30" x14ac:dyDescent="0.25">
      <c r="A98" s="117" t="s">
        <v>524</v>
      </c>
      <c r="B98" s="113">
        <v>91940</v>
      </c>
      <c r="C98" s="113" t="s">
        <v>17</v>
      </c>
      <c r="D98" s="114" t="s">
        <v>152</v>
      </c>
      <c r="E98" s="113" t="s">
        <v>144</v>
      </c>
      <c r="F98" s="115">
        <v>75</v>
      </c>
      <c r="G98" s="116">
        <v>22.203810999999998</v>
      </c>
      <c r="H98" s="116">
        <v>1665.2858249999999</v>
      </c>
      <c r="I98" s="202">
        <f t="shared" si="2"/>
        <v>1.3988740355149647E-3</v>
      </c>
      <c r="J98" s="203">
        <f t="shared" si="3"/>
        <v>0.93065847686596537</v>
      </c>
      <c r="K98" s="118" t="s">
        <v>279</v>
      </c>
    </row>
    <row r="99" spans="1:11" s="151" customFormat="1" x14ac:dyDescent="0.25">
      <c r="A99" s="117" t="s">
        <v>54</v>
      </c>
      <c r="B99" s="113" t="s">
        <v>383</v>
      </c>
      <c r="C99" s="113" t="s">
        <v>156</v>
      </c>
      <c r="D99" s="114" t="s">
        <v>291</v>
      </c>
      <c r="E99" s="113" t="s">
        <v>143</v>
      </c>
      <c r="F99" s="115">
        <v>33.679999999999993</v>
      </c>
      <c r="G99" s="116">
        <v>47.844108155400001</v>
      </c>
      <c r="H99" s="116">
        <v>1611.3895626738718</v>
      </c>
      <c r="I99" s="202">
        <f t="shared" si="2"/>
        <v>1.3536000766260609E-3</v>
      </c>
      <c r="J99" s="203">
        <f t="shared" si="3"/>
        <v>0.93201207694259147</v>
      </c>
      <c r="K99" s="118" t="s">
        <v>279</v>
      </c>
    </row>
    <row r="100" spans="1:11" s="151" customFormat="1" x14ac:dyDescent="0.25">
      <c r="A100" s="117" t="s">
        <v>515</v>
      </c>
      <c r="B100" s="113">
        <v>10620</v>
      </c>
      <c r="C100" s="113" t="s">
        <v>140</v>
      </c>
      <c r="D100" s="114" t="s">
        <v>462</v>
      </c>
      <c r="E100" s="113" t="s">
        <v>144</v>
      </c>
      <c r="F100" s="115">
        <v>300</v>
      </c>
      <c r="G100" s="116">
        <v>5.3519389999999998</v>
      </c>
      <c r="H100" s="116">
        <v>1605.5817</v>
      </c>
      <c r="I100" s="202">
        <f t="shared" si="2"/>
        <v>1.3487213536018522E-3</v>
      </c>
      <c r="J100" s="203">
        <f t="shared" si="3"/>
        <v>0.93336079829619334</v>
      </c>
      <c r="K100" s="118" t="s">
        <v>279</v>
      </c>
    </row>
    <row r="101" spans="1:11" s="151" customFormat="1" x14ac:dyDescent="0.25">
      <c r="A101" s="117" t="s">
        <v>511</v>
      </c>
      <c r="B101" s="113">
        <v>10327</v>
      </c>
      <c r="C101" s="113" t="s">
        <v>140</v>
      </c>
      <c r="D101" s="114" t="s">
        <v>670</v>
      </c>
      <c r="E101" s="113" t="s">
        <v>144</v>
      </c>
      <c r="F101" s="115">
        <v>204</v>
      </c>
      <c r="G101" s="116">
        <v>7.7401039999999997</v>
      </c>
      <c r="H101" s="116">
        <v>1578.9812159999999</v>
      </c>
      <c r="I101" s="202">
        <f t="shared" si="2"/>
        <v>1.3263764048602564E-3</v>
      </c>
      <c r="J101" s="203">
        <f t="shared" si="3"/>
        <v>0.93468717470105356</v>
      </c>
      <c r="K101" s="118" t="s">
        <v>279</v>
      </c>
    </row>
    <row r="102" spans="1:11" s="151" customFormat="1" ht="30" x14ac:dyDescent="0.25">
      <c r="A102" s="117" t="s">
        <v>707</v>
      </c>
      <c r="B102" s="113">
        <v>95802</v>
      </c>
      <c r="C102" s="113" t="s">
        <v>17</v>
      </c>
      <c r="D102" s="114" t="s">
        <v>443</v>
      </c>
      <c r="E102" s="113" t="s">
        <v>144</v>
      </c>
      <c r="F102" s="115">
        <v>25</v>
      </c>
      <c r="G102" s="116">
        <v>61.908584999999988</v>
      </c>
      <c r="H102" s="116">
        <v>1547.7146249999996</v>
      </c>
      <c r="I102" s="202">
        <f t="shared" si="2"/>
        <v>1.30011183113222E-3</v>
      </c>
      <c r="J102" s="203">
        <f t="shared" si="3"/>
        <v>0.93598728653218577</v>
      </c>
      <c r="K102" s="118" t="s">
        <v>279</v>
      </c>
    </row>
    <row r="103" spans="1:11" s="151" customFormat="1" ht="30" x14ac:dyDescent="0.25">
      <c r="A103" s="117" t="s">
        <v>50</v>
      </c>
      <c r="B103" s="113" t="s">
        <v>100</v>
      </c>
      <c r="C103" s="113" t="s">
        <v>6</v>
      </c>
      <c r="D103" s="114" t="s">
        <v>367</v>
      </c>
      <c r="E103" s="115" t="s">
        <v>107</v>
      </c>
      <c r="F103" s="115">
        <v>7.6167999999999996</v>
      </c>
      <c r="G103" s="116">
        <v>189.71827699999997</v>
      </c>
      <c r="H103" s="116">
        <v>1445.0461722535997</v>
      </c>
      <c r="I103" s="202">
        <f t="shared" si="2"/>
        <v>1.2138682381961942E-3</v>
      </c>
      <c r="J103" s="203">
        <f t="shared" si="3"/>
        <v>0.93720115477038202</v>
      </c>
      <c r="K103" s="118" t="s">
        <v>279</v>
      </c>
    </row>
    <row r="104" spans="1:11" s="151" customFormat="1" ht="45" x14ac:dyDescent="0.25">
      <c r="A104" s="117" t="s">
        <v>283</v>
      </c>
      <c r="B104" s="114">
        <v>90852</v>
      </c>
      <c r="C104" s="113" t="s">
        <v>17</v>
      </c>
      <c r="D104" s="114" t="s">
        <v>781</v>
      </c>
      <c r="E104" s="113" t="s">
        <v>474</v>
      </c>
      <c r="F104" s="115">
        <v>1</v>
      </c>
      <c r="G104" s="116">
        <v>1440.0390009999999</v>
      </c>
      <c r="H104" s="116">
        <v>1440.0390009999999</v>
      </c>
      <c r="I104" s="202">
        <f t="shared" si="2"/>
        <v>1.2096621122850235E-3</v>
      </c>
      <c r="J104" s="203">
        <f t="shared" si="3"/>
        <v>0.93841081688266703</v>
      </c>
      <c r="K104" s="118" t="s">
        <v>279</v>
      </c>
    </row>
    <row r="105" spans="1:11" s="151" customFormat="1" x14ac:dyDescent="0.25">
      <c r="A105" s="117" t="s">
        <v>742</v>
      </c>
      <c r="B105" s="113">
        <v>10727</v>
      </c>
      <c r="C105" s="113" t="s">
        <v>140</v>
      </c>
      <c r="D105" s="114" t="s">
        <v>738</v>
      </c>
      <c r="E105" s="113" t="s">
        <v>144</v>
      </c>
      <c r="F105" s="115">
        <v>4</v>
      </c>
      <c r="G105" s="116">
        <v>352.19922599999995</v>
      </c>
      <c r="H105" s="116">
        <v>1408.7969039999998</v>
      </c>
      <c r="I105" s="202">
        <f t="shared" si="2"/>
        <v>1.1834181140162338E-3</v>
      </c>
      <c r="J105" s="203">
        <f t="shared" si="3"/>
        <v>0.93959423499668326</v>
      </c>
      <c r="K105" s="118" t="s">
        <v>279</v>
      </c>
    </row>
    <row r="106" spans="1:11" s="151" customFormat="1" x14ac:dyDescent="0.25">
      <c r="A106" s="117" t="s">
        <v>1051</v>
      </c>
      <c r="B106" s="113">
        <v>9832</v>
      </c>
      <c r="C106" s="113" t="s">
        <v>140</v>
      </c>
      <c r="D106" s="114" t="s">
        <v>451</v>
      </c>
      <c r="E106" s="113" t="s">
        <v>144</v>
      </c>
      <c r="F106" s="115">
        <v>924</v>
      </c>
      <c r="G106" s="116">
        <v>1.4696399999999998</v>
      </c>
      <c r="H106" s="116">
        <v>1357.9473599999999</v>
      </c>
      <c r="I106" s="202">
        <f t="shared" si="2"/>
        <v>1.140703460620697E-3</v>
      </c>
      <c r="J106" s="203">
        <f t="shared" si="3"/>
        <v>0.94073493845730394</v>
      </c>
      <c r="K106" s="118" t="s">
        <v>279</v>
      </c>
    </row>
    <row r="107" spans="1:11" s="151" customFormat="1" x14ac:dyDescent="0.25">
      <c r="A107" s="117" t="s">
        <v>1040</v>
      </c>
      <c r="B107" s="113" t="s">
        <v>944</v>
      </c>
      <c r="C107" s="113" t="s">
        <v>904</v>
      </c>
      <c r="D107" s="114" t="s">
        <v>943</v>
      </c>
      <c r="E107" s="113" t="s">
        <v>143</v>
      </c>
      <c r="F107" s="115">
        <v>100</v>
      </c>
      <c r="G107" s="116">
        <v>13.398217999999998</v>
      </c>
      <c r="H107" s="116">
        <v>1339.8217999999997</v>
      </c>
      <c r="I107" s="202">
        <f t="shared" si="2"/>
        <v>1.125477620778357E-3</v>
      </c>
      <c r="J107" s="203">
        <f t="shared" si="3"/>
        <v>0.94186041607808224</v>
      </c>
      <c r="K107" s="118" t="s">
        <v>279</v>
      </c>
    </row>
    <row r="108" spans="1:11" s="151" customFormat="1" x14ac:dyDescent="0.25">
      <c r="A108" s="117" t="s">
        <v>748</v>
      </c>
      <c r="B108" s="113" t="s">
        <v>470</v>
      </c>
      <c r="C108" s="113" t="s">
        <v>6</v>
      </c>
      <c r="D108" s="114" t="s">
        <v>469</v>
      </c>
      <c r="E108" s="113" t="s">
        <v>143</v>
      </c>
      <c r="F108" s="115">
        <v>120</v>
      </c>
      <c r="G108" s="116">
        <v>10.863088999999999</v>
      </c>
      <c r="H108" s="116">
        <v>1303.5706799999998</v>
      </c>
      <c r="I108" s="202">
        <f t="shared" si="2"/>
        <v>1.0950259410936777E-3</v>
      </c>
      <c r="J108" s="203">
        <f t="shared" si="3"/>
        <v>0.94295544201917592</v>
      </c>
      <c r="K108" s="118" t="s">
        <v>279</v>
      </c>
    </row>
    <row r="109" spans="1:11" s="151" customFormat="1" ht="30" x14ac:dyDescent="0.25">
      <c r="A109" s="117" t="s">
        <v>693</v>
      </c>
      <c r="B109" s="113" t="s">
        <v>10</v>
      </c>
      <c r="C109" s="113" t="s">
        <v>6</v>
      </c>
      <c r="D109" s="114" t="s">
        <v>374</v>
      </c>
      <c r="E109" s="113" t="s">
        <v>143</v>
      </c>
      <c r="F109" s="115">
        <v>379.81000000000006</v>
      </c>
      <c r="G109" s="116">
        <v>3.4169129999999996</v>
      </c>
      <c r="H109" s="116">
        <v>1297.7777265300001</v>
      </c>
      <c r="I109" s="202">
        <f t="shared" si="2"/>
        <v>1.0901597421046068E-3</v>
      </c>
      <c r="J109" s="203">
        <f t="shared" si="3"/>
        <v>0.9440456017612805</v>
      </c>
      <c r="K109" s="118" t="s">
        <v>279</v>
      </c>
    </row>
    <row r="110" spans="1:11" s="151" customFormat="1" ht="30" customHeight="1" x14ac:dyDescent="0.25">
      <c r="A110" s="117" t="s">
        <v>893</v>
      </c>
      <c r="B110" s="113" t="s">
        <v>836</v>
      </c>
      <c r="C110" s="113" t="s">
        <v>106</v>
      </c>
      <c r="D110" s="114" t="s">
        <v>931</v>
      </c>
      <c r="E110" s="113" t="s">
        <v>144</v>
      </c>
      <c r="F110" s="115">
        <v>2</v>
      </c>
      <c r="G110" s="116">
        <v>632.60653799999989</v>
      </c>
      <c r="H110" s="116">
        <v>1265.2130759999998</v>
      </c>
      <c r="I110" s="202">
        <f t="shared" si="2"/>
        <v>1.0628047719138073E-3</v>
      </c>
      <c r="J110" s="203">
        <f t="shared" si="3"/>
        <v>0.94510840653319428</v>
      </c>
      <c r="K110" s="118" t="s">
        <v>279</v>
      </c>
    </row>
    <row r="111" spans="1:11" s="151" customFormat="1" ht="30" x14ac:dyDescent="0.25">
      <c r="A111" s="117" t="s">
        <v>538</v>
      </c>
      <c r="B111" s="113">
        <v>11304</v>
      </c>
      <c r="C111" s="113" t="s">
        <v>140</v>
      </c>
      <c r="D111" s="114" t="s">
        <v>879</v>
      </c>
      <c r="E111" s="113" t="s">
        <v>144</v>
      </c>
      <c r="F111" s="115">
        <v>240</v>
      </c>
      <c r="G111" s="116">
        <v>5.0212699999999995</v>
      </c>
      <c r="H111" s="116">
        <v>1205.1047999999998</v>
      </c>
      <c r="I111" s="202">
        <f t="shared" si="2"/>
        <v>1.0123125949231292E-3</v>
      </c>
      <c r="J111" s="203">
        <f t="shared" si="3"/>
        <v>0.94612071912811746</v>
      </c>
      <c r="K111" s="118" t="s">
        <v>279</v>
      </c>
    </row>
    <row r="112" spans="1:11" s="151" customFormat="1" ht="30" x14ac:dyDescent="0.25">
      <c r="A112" s="117" t="s">
        <v>484</v>
      </c>
      <c r="B112" s="113">
        <v>96123</v>
      </c>
      <c r="C112" s="113" t="s">
        <v>17</v>
      </c>
      <c r="D112" s="114" t="s">
        <v>380</v>
      </c>
      <c r="E112" s="113" t="s">
        <v>143</v>
      </c>
      <c r="F112" s="115">
        <v>33.679999999999993</v>
      </c>
      <c r="G112" s="116">
        <v>34.916196999999997</v>
      </c>
      <c r="H112" s="116">
        <v>1175.9775149599996</v>
      </c>
      <c r="I112" s="202">
        <f t="shared" si="2"/>
        <v>9.87845081805674E-4</v>
      </c>
      <c r="J112" s="203">
        <f t="shared" si="3"/>
        <v>0.94710856420992318</v>
      </c>
      <c r="K112" s="118" t="s">
        <v>279</v>
      </c>
    </row>
    <row r="113" spans="1:11" s="151" customFormat="1" x14ac:dyDescent="0.25">
      <c r="A113" s="117" t="s">
        <v>1074</v>
      </c>
      <c r="B113" s="113">
        <v>12500</v>
      </c>
      <c r="C113" s="113" t="s">
        <v>140</v>
      </c>
      <c r="D113" s="114" t="s">
        <v>919</v>
      </c>
      <c r="E113" s="113" t="s">
        <v>144</v>
      </c>
      <c r="F113" s="115">
        <v>138</v>
      </c>
      <c r="G113" s="116">
        <v>8.4136889999999998</v>
      </c>
      <c r="H113" s="116">
        <v>1161.089082</v>
      </c>
      <c r="I113" s="202">
        <f t="shared" si="2"/>
        <v>9.7533849465733947E-4</v>
      </c>
      <c r="J113" s="203">
        <f t="shared" si="3"/>
        <v>0.94808390270458054</v>
      </c>
      <c r="K113" s="118" t="s">
        <v>279</v>
      </c>
    </row>
    <row r="114" spans="1:11" s="151" customFormat="1" ht="30" x14ac:dyDescent="0.25">
      <c r="A114" s="117" t="s">
        <v>527</v>
      </c>
      <c r="B114" s="113">
        <v>92005</v>
      </c>
      <c r="C114" s="113" t="s">
        <v>17</v>
      </c>
      <c r="D114" s="114" t="s">
        <v>454</v>
      </c>
      <c r="E114" s="113" t="s">
        <v>144</v>
      </c>
      <c r="F114" s="115">
        <v>16</v>
      </c>
      <c r="G114" s="116">
        <v>72.453251999999992</v>
      </c>
      <c r="H114" s="116">
        <v>1159.2520319999999</v>
      </c>
      <c r="I114" s="202">
        <f t="shared" si="2"/>
        <v>9.7379533521385901E-4</v>
      </c>
      <c r="J114" s="203">
        <f t="shared" si="3"/>
        <v>0.94905769803979445</v>
      </c>
      <c r="K114" s="118" t="s">
        <v>279</v>
      </c>
    </row>
    <row r="115" spans="1:11" s="151" customFormat="1" ht="30" x14ac:dyDescent="0.25">
      <c r="A115" s="117" t="s">
        <v>532</v>
      </c>
      <c r="B115" s="113">
        <v>91940</v>
      </c>
      <c r="C115" s="113" t="s">
        <v>17</v>
      </c>
      <c r="D115" s="114" t="s">
        <v>152</v>
      </c>
      <c r="E115" s="113" t="s">
        <v>144</v>
      </c>
      <c r="F115" s="115">
        <v>52</v>
      </c>
      <c r="G115" s="116">
        <v>22.203810999999998</v>
      </c>
      <c r="H115" s="116">
        <v>1154.598172</v>
      </c>
      <c r="I115" s="202">
        <f t="shared" si="2"/>
        <v>9.6988599795704217E-4</v>
      </c>
      <c r="J115" s="203">
        <f t="shared" si="3"/>
        <v>0.95002758403775145</v>
      </c>
      <c r="K115" s="118" t="s">
        <v>279</v>
      </c>
    </row>
    <row r="116" spans="1:11" s="151" customFormat="1" x14ac:dyDescent="0.25">
      <c r="A116" s="205" t="s">
        <v>521</v>
      </c>
      <c r="B116" s="207" t="s">
        <v>912</v>
      </c>
      <c r="C116" s="206" t="s">
        <v>891</v>
      </c>
      <c r="D116" s="207" t="s">
        <v>913</v>
      </c>
      <c r="E116" s="206" t="s">
        <v>144</v>
      </c>
      <c r="F116" s="208">
        <v>26</v>
      </c>
      <c r="G116" s="209">
        <v>43.231909999999992</v>
      </c>
      <c r="H116" s="209">
        <v>1124.0296599999997</v>
      </c>
      <c r="I116" s="210">
        <f t="shared" si="2"/>
        <v>9.4420782481752837E-4</v>
      </c>
      <c r="J116" s="211">
        <f t="shared" si="3"/>
        <v>0.95097179186256897</v>
      </c>
      <c r="K116" s="212" t="s">
        <v>662</v>
      </c>
    </row>
    <row r="117" spans="1:11" s="151" customFormat="1" ht="30" x14ac:dyDescent="0.25">
      <c r="A117" s="205" t="s">
        <v>750</v>
      </c>
      <c r="B117" s="206">
        <v>98270</v>
      </c>
      <c r="C117" s="206" t="s">
        <v>17</v>
      </c>
      <c r="D117" s="207" t="s">
        <v>929</v>
      </c>
      <c r="E117" s="206" t="s">
        <v>143</v>
      </c>
      <c r="F117" s="208">
        <v>30</v>
      </c>
      <c r="G117" s="209">
        <v>36.716505999999995</v>
      </c>
      <c r="H117" s="209">
        <v>1101.4951799999999</v>
      </c>
      <c r="I117" s="210">
        <f t="shared" si="2"/>
        <v>9.2527840231083588E-4</v>
      </c>
      <c r="J117" s="211">
        <f t="shared" si="3"/>
        <v>0.9518970702648798</v>
      </c>
      <c r="K117" s="212" t="s">
        <v>662</v>
      </c>
    </row>
    <row r="118" spans="1:11" s="151" customFormat="1" ht="30" x14ac:dyDescent="0.25">
      <c r="A118" s="205" t="s">
        <v>783</v>
      </c>
      <c r="B118" s="206">
        <v>98270</v>
      </c>
      <c r="C118" s="206" t="s">
        <v>17</v>
      </c>
      <c r="D118" s="207" t="s">
        <v>929</v>
      </c>
      <c r="E118" s="206" t="s">
        <v>143</v>
      </c>
      <c r="F118" s="208">
        <v>30</v>
      </c>
      <c r="G118" s="209">
        <v>36.716505999999995</v>
      </c>
      <c r="H118" s="209">
        <v>1101.4951799999999</v>
      </c>
      <c r="I118" s="210">
        <f t="shared" si="2"/>
        <v>9.2527840231083588E-4</v>
      </c>
      <c r="J118" s="211">
        <f t="shared" si="3"/>
        <v>0.95282234866719062</v>
      </c>
      <c r="K118" s="212" t="s">
        <v>662</v>
      </c>
    </row>
    <row r="119" spans="1:11" s="151" customFormat="1" x14ac:dyDescent="0.25">
      <c r="A119" s="205" t="s">
        <v>481</v>
      </c>
      <c r="B119" s="206" t="s">
        <v>371</v>
      </c>
      <c r="C119" s="206" t="s">
        <v>156</v>
      </c>
      <c r="D119" s="207" t="s">
        <v>328</v>
      </c>
      <c r="E119" s="206" t="s">
        <v>144</v>
      </c>
      <c r="F119" s="208">
        <v>22</v>
      </c>
      <c r="G119" s="209">
        <v>49.992253999999996</v>
      </c>
      <c r="H119" s="209">
        <v>1099.8295879999998</v>
      </c>
      <c r="I119" s="210">
        <f t="shared" si="2"/>
        <v>9.2387927108208024E-4</v>
      </c>
      <c r="J119" s="211">
        <f t="shared" si="3"/>
        <v>0.95374622793827268</v>
      </c>
      <c r="K119" s="212" t="s">
        <v>662</v>
      </c>
    </row>
    <row r="120" spans="1:11" s="151" customFormat="1" x14ac:dyDescent="0.25">
      <c r="A120" s="205" t="s">
        <v>565</v>
      </c>
      <c r="B120" s="206" t="s">
        <v>990</v>
      </c>
      <c r="C120" s="206" t="s">
        <v>156</v>
      </c>
      <c r="D120" s="207" t="s">
        <v>567</v>
      </c>
      <c r="E120" s="206" t="s">
        <v>144</v>
      </c>
      <c r="F120" s="208">
        <v>22</v>
      </c>
      <c r="G120" s="209">
        <v>49.992253999999996</v>
      </c>
      <c r="H120" s="209">
        <v>1099.8295879999998</v>
      </c>
      <c r="I120" s="210">
        <f t="shared" si="2"/>
        <v>9.2387927108208024E-4</v>
      </c>
      <c r="J120" s="211">
        <f t="shared" si="3"/>
        <v>0.95467010720935475</v>
      </c>
      <c r="K120" s="212" t="s">
        <v>662</v>
      </c>
    </row>
    <row r="121" spans="1:11" s="151" customFormat="1" x14ac:dyDescent="0.25">
      <c r="A121" s="205" t="s">
        <v>553</v>
      </c>
      <c r="B121" s="206" t="s">
        <v>838</v>
      </c>
      <c r="C121" s="206" t="s">
        <v>106</v>
      </c>
      <c r="D121" s="207" t="s">
        <v>464</v>
      </c>
      <c r="E121" s="206" t="s">
        <v>144</v>
      </c>
      <c r="F121" s="208">
        <v>138</v>
      </c>
      <c r="G121" s="209">
        <v>7.7854178999999997</v>
      </c>
      <c r="H121" s="209">
        <v>1074.3876702</v>
      </c>
      <c r="I121" s="210">
        <f t="shared" si="2"/>
        <v>9.0250754156283948E-4</v>
      </c>
      <c r="J121" s="211">
        <f t="shared" si="3"/>
        <v>0.95557261475091759</v>
      </c>
      <c r="K121" s="212" t="s">
        <v>662</v>
      </c>
    </row>
    <row r="122" spans="1:11" s="151" customFormat="1" x14ac:dyDescent="0.25">
      <c r="A122" s="205" t="s">
        <v>1038</v>
      </c>
      <c r="B122" s="206">
        <v>10620</v>
      </c>
      <c r="C122" s="206" t="s">
        <v>140</v>
      </c>
      <c r="D122" s="207" t="s">
        <v>462</v>
      </c>
      <c r="E122" s="206" t="s">
        <v>144</v>
      </c>
      <c r="F122" s="208">
        <v>200</v>
      </c>
      <c r="G122" s="209">
        <v>5.3519389999999998</v>
      </c>
      <c r="H122" s="209">
        <v>1070.3878</v>
      </c>
      <c r="I122" s="210">
        <f t="shared" si="2"/>
        <v>8.9914756906790151E-4</v>
      </c>
      <c r="J122" s="211">
        <f t="shared" si="3"/>
        <v>0.95647176231998554</v>
      </c>
      <c r="K122" s="212" t="s">
        <v>662</v>
      </c>
    </row>
    <row r="123" spans="1:11" s="151" customFormat="1" x14ac:dyDescent="0.25">
      <c r="A123" s="205" t="s">
        <v>1084</v>
      </c>
      <c r="B123" s="206">
        <v>10620</v>
      </c>
      <c r="C123" s="206" t="s">
        <v>140</v>
      </c>
      <c r="D123" s="207" t="s">
        <v>462</v>
      </c>
      <c r="E123" s="206" t="s">
        <v>144</v>
      </c>
      <c r="F123" s="208">
        <v>200</v>
      </c>
      <c r="G123" s="209">
        <v>5.3519389999999998</v>
      </c>
      <c r="H123" s="209">
        <v>1070.3878</v>
      </c>
      <c r="I123" s="210">
        <f t="shared" si="2"/>
        <v>8.9914756906790151E-4</v>
      </c>
      <c r="J123" s="211">
        <f t="shared" si="3"/>
        <v>0.95737090988905349</v>
      </c>
      <c r="K123" s="212" t="s">
        <v>662</v>
      </c>
    </row>
    <row r="124" spans="1:11" s="151" customFormat="1" ht="30" x14ac:dyDescent="0.25">
      <c r="A124" s="205" t="s">
        <v>229</v>
      </c>
      <c r="B124" s="213" t="s">
        <v>410</v>
      </c>
      <c r="C124" s="213" t="s">
        <v>156</v>
      </c>
      <c r="D124" s="207" t="s">
        <v>359</v>
      </c>
      <c r="E124" s="206" t="s">
        <v>144</v>
      </c>
      <c r="F124" s="208">
        <v>1</v>
      </c>
      <c r="G124" s="209">
        <v>1059.97785</v>
      </c>
      <c r="H124" s="209">
        <v>1059.97785</v>
      </c>
      <c r="I124" s="210">
        <f t="shared" si="2"/>
        <v>8.9040299888817941E-4</v>
      </c>
      <c r="J124" s="211">
        <f t="shared" si="3"/>
        <v>0.9582613128879417</v>
      </c>
      <c r="K124" s="212" t="s">
        <v>662</v>
      </c>
    </row>
    <row r="125" spans="1:11" s="151" customFormat="1" x14ac:dyDescent="0.25">
      <c r="A125" s="205" t="s">
        <v>167</v>
      </c>
      <c r="B125" s="206" t="s">
        <v>978</v>
      </c>
      <c r="C125" s="206" t="s">
        <v>106</v>
      </c>
      <c r="D125" s="328" t="s">
        <v>614</v>
      </c>
      <c r="E125" s="206" t="s">
        <v>144</v>
      </c>
      <c r="F125" s="208">
        <v>1</v>
      </c>
      <c r="G125" s="209">
        <v>1058.8388789999999</v>
      </c>
      <c r="H125" s="209">
        <v>1058.8388789999999</v>
      </c>
      <c r="I125" s="210">
        <f t="shared" si="2"/>
        <v>8.894462400332215E-4</v>
      </c>
      <c r="J125" s="211">
        <f t="shared" si="3"/>
        <v>0.95915075912797487</v>
      </c>
      <c r="K125" s="212" t="s">
        <v>662</v>
      </c>
    </row>
    <row r="126" spans="1:11" s="151" customFormat="1" x14ac:dyDescent="0.25">
      <c r="A126" s="205" t="s">
        <v>637</v>
      </c>
      <c r="B126" s="206" t="s">
        <v>985</v>
      </c>
      <c r="C126" s="206" t="s">
        <v>156</v>
      </c>
      <c r="D126" s="207" t="s">
        <v>631</v>
      </c>
      <c r="E126" s="206" t="s">
        <v>144</v>
      </c>
      <c r="F126" s="208">
        <v>2</v>
      </c>
      <c r="G126" s="209">
        <v>528.09063999999989</v>
      </c>
      <c r="H126" s="209">
        <v>1056.1812799999998</v>
      </c>
      <c r="I126" s="210">
        <f t="shared" si="2"/>
        <v>8.8721380270498644E-4</v>
      </c>
      <c r="J126" s="211">
        <f t="shared" si="3"/>
        <v>0.96003797293067983</v>
      </c>
      <c r="K126" s="212" t="s">
        <v>662</v>
      </c>
    </row>
    <row r="127" spans="1:11" s="151" customFormat="1" ht="30" x14ac:dyDescent="0.25">
      <c r="A127" s="205" t="s">
        <v>238</v>
      </c>
      <c r="B127" s="213" t="s">
        <v>258</v>
      </c>
      <c r="C127" s="206" t="s">
        <v>156</v>
      </c>
      <c r="D127" s="207" t="s">
        <v>852</v>
      </c>
      <c r="E127" s="206" t="s">
        <v>144</v>
      </c>
      <c r="F127" s="208">
        <v>1</v>
      </c>
      <c r="G127" s="209">
        <v>1046.922548</v>
      </c>
      <c r="H127" s="209">
        <v>1046.922548</v>
      </c>
      <c r="I127" s="210">
        <f t="shared" si="2"/>
        <v>8.7943627910984552E-4</v>
      </c>
      <c r="J127" s="211">
        <f t="shared" si="3"/>
        <v>0.96091740920978963</v>
      </c>
      <c r="K127" s="212" t="s">
        <v>662</v>
      </c>
    </row>
    <row r="128" spans="1:11" s="151" customFormat="1" ht="30" x14ac:dyDescent="0.25">
      <c r="A128" s="205" t="s">
        <v>227</v>
      </c>
      <c r="B128" s="213" t="s">
        <v>863</v>
      </c>
      <c r="C128" s="206" t="s">
        <v>156</v>
      </c>
      <c r="D128" s="207" t="s">
        <v>357</v>
      </c>
      <c r="E128" s="206" t="s">
        <v>144</v>
      </c>
      <c r="F128" s="208">
        <v>1</v>
      </c>
      <c r="G128" s="209">
        <v>1025.8944489999999</v>
      </c>
      <c r="H128" s="209">
        <v>1025.8944489999999</v>
      </c>
      <c r="I128" s="210">
        <f t="shared" si="2"/>
        <v>8.6177224734680668E-4</v>
      </c>
      <c r="J128" s="211">
        <f t="shared" si="3"/>
        <v>0.96177918145713648</v>
      </c>
      <c r="K128" s="212" t="s">
        <v>662</v>
      </c>
    </row>
    <row r="129" spans="1:11" s="151" customFormat="1" ht="30" x14ac:dyDescent="0.25">
      <c r="A129" s="205" t="s">
        <v>228</v>
      </c>
      <c r="B129" s="213" t="s">
        <v>173</v>
      </c>
      <c r="C129" s="206" t="s">
        <v>156</v>
      </c>
      <c r="D129" s="207" t="s">
        <v>358</v>
      </c>
      <c r="E129" s="206" t="s">
        <v>144</v>
      </c>
      <c r="F129" s="208">
        <v>1</v>
      </c>
      <c r="G129" s="209">
        <v>1025.8944489999999</v>
      </c>
      <c r="H129" s="209">
        <v>1025.8944489999999</v>
      </c>
      <c r="I129" s="210">
        <f t="shared" si="2"/>
        <v>8.6177224734680668E-4</v>
      </c>
      <c r="J129" s="211">
        <f t="shared" si="3"/>
        <v>0.96264095370448333</v>
      </c>
      <c r="K129" s="212" t="s">
        <v>662</v>
      </c>
    </row>
    <row r="130" spans="1:11" s="151" customFormat="1" x14ac:dyDescent="0.25">
      <c r="A130" s="205" t="s">
        <v>1059</v>
      </c>
      <c r="B130" s="206" t="s">
        <v>160</v>
      </c>
      <c r="C130" s="206" t="s">
        <v>106</v>
      </c>
      <c r="D130" s="207" t="s">
        <v>941</v>
      </c>
      <c r="E130" s="206" t="s">
        <v>144</v>
      </c>
      <c r="F130" s="208">
        <v>1</v>
      </c>
      <c r="G130" s="209">
        <v>1004.9275849999999</v>
      </c>
      <c r="H130" s="209">
        <v>1004.9275849999999</v>
      </c>
      <c r="I130" s="210">
        <f t="shared" si="2"/>
        <v>8.4415965423188387E-4</v>
      </c>
      <c r="J130" s="211">
        <f t="shared" si="3"/>
        <v>0.96348511335871523</v>
      </c>
      <c r="K130" s="212" t="s">
        <v>662</v>
      </c>
    </row>
    <row r="131" spans="1:11" s="151" customFormat="1" ht="30" x14ac:dyDescent="0.25">
      <c r="A131" s="205" t="s">
        <v>239</v>
      </c>
      <c r="B131" s="213" t="s">
        <v>259</v>
      </c>
      <c r="C131" s="206" t="s">
        <v>156</v>
      </c>
      <c r="D131" s="207" t="s">
        <v>858</v>
      </c>
      <c r="E131" s="206" t="s">
        <v>144</v>
      </c>
      <c r="F131" s="208">
        <v>1</v>
      </c>
      <c r="G131" s="209">
        <v>987.1081999999999</v>
      </c>
      <c r="H131" s="209">
        <v>987.1081999999999</v>
      </c>
      <c r="I131" s="210">
        <f t="shared" si="2"/>
        <v>8.2919100763012424E-4</v>
      </c>
      <c r="J131" s="211">
        <f t="shared" si="3"/>
        <v>0.96431430436634535</v>
      </c>
      <c r="K131" s="212" t="s">
        <v>662</v>
      </c>
    </row>
    <row r="132" spans="1:11" s="151" customFormat="1" ht="30" x14ac:dyDescent="0.25">
      <c r="A132" s="205" t="s">
        <v>234</v>
      </c>
      <c r="B132" s="213" t="s">
        <v>562</v>
      </c>
      <c r="C132" s="213" t="s">
        <v>156</v>
      </c>
      <c r="D132" s="207" t="s">
        <v>848</v>
      </c>
      <c r="E132" s="206" t="s">
        <v>144</v>
      </c>
      <c r="F132" s="208">
        <v>1</v>
      </c>
      <c r="G132" s="209">
        <v>972.14236599999992</v>
      </c>
      <c r="H132" s="209">
        <v>972.14236599999992</v>
      </c>
      <c r="I132" s="210">
        <f t="shared" si="2"/>
        <v>8.1661940203057071E-4</v>
      </c>
      <c r="J132" s="211">
        <f t="shared" si="3"/>
        <v>0.96513092376837595</v>
      </c>
      <c r="K132" s="212" t="s">
        <v>662</v>
      </c>
    </row>
    <row r="133" spans="1:11" s="151" customFormat="1" ht="30" x14ac:dyDescent="0.25">
      <c r="A133" s="205" t="s">
        <v>236</v>
      </c>
      <c r="B133" s="213" t="s">
        <v>256</v>
      </c>
      <c r="C133" s="206" t="s">
        <v>156</v>
      </c>
      <c r="D133" s="207" t="s">
        <v>850</v>
      </c>
      <c r="E133" s="206" t="s">
        <v>144</v>
      </c>
      <c r="F133" s="208">
        <v>1</v>
      </c>
      <c r="G133" s="209">
        <v>972.14236599999992</v>
      </c>
      <c r="H133" s="209">
        <v>972.14236599999992</v>
      </c>
      <c r="I133" s="210">
        <f t="shared" si="2"/>
        <v>8.1661940203057071E-4</v>
      </c>
      <c r="J133" s="211">
        <f t="shared" si="3"/>
        <v>0.96594754317040654</v>
      </c>
      <c r="K133" s="212" t="s">
        <v>662</v>
      </c>
    </row>
    <row r="134" spans="1:11" s="151" customFormat="1" ht="30" x14ac:dyDescent="0.25">
      <c r="A134" s="205" t="s">
        <v>233</v>
      </c>
      <c r="B134" s="213" t="s">
        <v>561</v>
      </c>
      <c r="C134" s="206" t="s">
        <v>156</v>
      </c>
      <c r="D134" s="207" t="s">
        <v>847</v>
      </c>
      <c r="E134" s="206" t="s">
        <v>144</v>
      </c>
      <c r="F134" s="208">
        <v>1</v>
      </c>
      <c r="G134" s="209">
        <v>957.18877899999995</v>
      </c>
      <c r="H134" s="209">
        <v>957.18877899999995</v>
      </c>
      <c r="I134" s="210">
        <f t="shared" ref="I134:I197" si="4">H134/$H$265</f>
        <v>8.0405808416064044E-4</v>
      </c>
      <c r="J134" s="211">
        <f t="shared" si="3"/>
        <v>0.96675160125456716</v>
      </c>
      <c r="K134" s="212" t="s">
        <v>662</v>
      </c>
    </row>
    <row r="135" spans="1:11" s="151" customFormat="1" ht="30" x14ac:dyDescent="0.25">
      <c r="A135" s="205" t="s">
        <v>232</v>
      </c>
      <c r="B135" s="213" t="s">
        <v>177</v>
      </c>
      <c r="C135" s="206" t="s">
        <v>156</v>
      </c>
      <c r="D135" s="207" t="s">
        <v>846</v>
      </c>
      <c r="E135" s="206" t="s">
        <v>144</v>
      </c>
      <c r="F135" s="208">
        <v>1</v>
      </c>
      <c r="G135" s="209">
        <v>927.2938519999999</v>
      </c>
      <c r="H135" s="209">
        <v>927.2938519999999</v>
      </c>
      <c r="I135" s="210">
        <f t="shared" si="4"/>
        <v>7.7894573615040308E-4</v>
      </c>
      <c r="J135" s="211">
        <f t="shared" si="3"/>
        <v>0.96753054699071761</v>
      </c>
      <c r="K135" s="212" t="s">
        <v>662</v>
      </c>
    </row>
    <row r="136" spans="1:11" s="151" customFormat="1" ht="29.25" customHeight="1" x14ac:dyDescent="0.25">
      <c r="A136" s="205" t="s">
        <v>1033</v>
      </c>
      <c r="B136" s="206">
        <v>9526</v>
      </c>
      <c r="C136" s="206" t="s">
        <v>140</v>
      </c>
      <c r="D136" s="207" t="s">
        <v>917</v>
      </c>
      <c r="E136" s="206" t="s">
        <v>144</v>
      </c>
      <c r="F136" s="208">
        <v>69</v>
      </c>
      <c r="G136" s="209">
        <v>12.700138999999998</v>
      </c>
      <c r="H136" s="209">
        <v>876.30959099999984</v>
      </c>
      <c r="I136" s="210">
        <f t="shared" si="4"/>
        <v>7.3611791772901084E-4</v>
      </c>
      <c r="J136" s="211">
        <f t="shared" ref="J136:J199" si="5">J135+I136</f>
        <v>0.96826666490844659</v>
      </c>
      <c r="K136" s="212" t="s">
        <v>662</v>
      </c>
    </row>
    <row r="137" spans="1:11" s="151" customFormat="1" ht="30" x14ac:dyDescent="0.25">
      <c r="A137" s="205" t="s">
        <v>309</v>
      </c>
      <c r="B137" s="206" t="s">
        <v>966</v>
      </c>
      <c r="C137" s="206" t="s">
        <v>156</v>
      </c>
      <c r="D137" s="207" t="s">
        <v>472</v>
      </c>
      <c r="E137" s="206" t="s">
        <v>107</v>
      </c>
      <c r="F137" s="208">
        <v>4.7553999999999998</v>
      </c>
      <c r="G137" s="209">
        <v>183.73045538950004</v>
      </c>
      <c r="H137" s="209">
        <v>873.71180755922842</v>
      </c>
      <c r="I137" s="210">
        <f t="shared" si="4"/>
        <v>7.3393572668971232E-4</v>
      </c>
      <c r="J137" s="211">
        <f t="shared" si="5"/>
        <v>0.96900060063513627</v>
      </c>
      <c r="K137" s="212" t="s">
        <v>662</v>
      </c>
    </row>
    <row r="138" spans="1:11" s="151" customFormat="1" ht="45" x14ac:dyDescent="0.25">
      <c r="A138" s="205" t="s">
        <v>48</v>
      </c>
      <c r="B138" s="206" t="s">
        <v>9</v>
      </c>
      <c r="C138" s="206" t="s">
        <v>6</v>
      </c>
      <c r="D138" s="207" t="s">
        <v>362</v>
      </c>
      <c r="E138" s="206" t="s">
        <v>144</v>
      </c>
      <c r="F138" s="208">
        <v>64</v>
      </c>
      <c r="G138" s="209">
        <v>13.239006999999999</v>
      </c>
      <c r="H138" s="209">
        <v>847.29644799999994</v>
      </c>
      <c r="I138" s="210">
        <f t="shared" si="4"/>
        <v>7.117462862516441E-4</v>
      </c>
      <c r="J138" s="211">
        <f t="shared" si="5"/>
        <v>0.96971234692138786</v>
      </c>
      <c r="K138" s="212" t="s">
        <v>662</v>
      </c>
    </row>
    <row r="139" spans="1:11" s="151" customFormat="1" ht="30" x14ac:dyDescent="0.25">
      <c r="A139" s="205" t="s">
        <v>231</v>
      </c>
      <c r="B139" s="213" t="s">
        <v>176</v>
      </c>
      <c r="C139" s="206" t="s">
        <v>156</v>
      </c>
      <c r="D139" s="207" t="s">
        <v>845</v>
      </c>
      <c r="E139" s="206" t="s">
        <v>144</v>
      </c>
      <c r="F139" s="208">
        <v>1</v>
      </c>
      <c r="G139" s="209">
        <v>822.58200199999987</v>
      </c>
      <c r="H139" s="209">
        <v>822.58200199999987</v>
      </c>
      <c r="I139" s="210">
        <f t="shared" si="4"/>
        <v>6.909856478720213E-4</v>
      </c>
      <c r="J139" s="211">
        <f t="shared" si="5"/>
        <v>0.97040333256925992</v>
      </c>
      <c r="K139" s="212" t="s">
        <v>662</v>
      </c>
    </row>
    <row r="140" spans="1:11" s="151" customFormat="1" x14ac:dyDescent="0.25">
      <c r="A140" s="205" t="s">
        <v>1076</v>
      </c>
      <c r="B140" s="206">
        <v>9832</v>
      </c>
      <c r="C140" s="206" t="s">
        <v>140</v>
      </c>
      <c r="D140" s="207" t="s">
        <v>451</v>
      </c>
      <c r="E140" s="206" t="s">
        <v>144</v>
      </c>
      <c r="F140" s="208">
        <v>552</v>
      </c>
      <c r="G140" s="209">
        <v>1.4696399999999998</v>
      </c>
      <c r="H140" s="209">
        <v>811.24127999999996</v>
      </c>
      <c r="I140" s="210">
        <f t="shared" si="4"/>
        <v>6.8145921024093592E-4</v>
      </c>
      <c r="J140" s="211">
        <f t="shared" si="5"/>
        <v>0.97108479177950091</v>
      </c>
      <c r="K140" s="212" t="s">
        <v>662</v>
      </c>
    </row>
    <row r="141" spans="1:11" s="151" customFormat="1" ht="45" x14ac:dyDescent="0.25">
      <c r="A141" s="205" t="s">
        <v>1054</v>
      </c>
      <c r="B141" s="206">
        <v>101880</v>
      </c>
      <c r="C141" s="206" t="s">
        <v>17</v>
      </c>
      <c r="D141" s="207" t="s">
        <v>942</v>
      </c>
      <c r="E141" s="206" t="s">
        <v>144</v>
      </c>
      <c r="F141" s="208">
        <v>1</v>
      </c>
      <c r="G141" s="209">
        <v>741.788543</v>
      </c>
      <c r="H141" s="209">
        <v>741.788543</v>
      </c>
      <c r="I141" s="210">
        <f t="shared" si="4"/>
        <v>6.2311749554775438E-4</v>
      </c>
      <c r="J141" s="211">
        <f t="shared" si="5"/>
        <v>0.97170790927504869</v>
      </c>
      <c r="K141" s="212" t="s">
        <v>662</v>
      </c>
    </row>
    <row r="142" spans="1:11" s="151" customFormat="1" ht="30" x14ac:dyDescent="0.25">
      <c r="A142" s="205" t="s">
        <v>1048</v>
      </c>
      <c r="B142" s="206">
        <v>92019</v>
      </c>
      <c r="C142" s="206" t="s">
        <v>17</v>
      </c>
      <c r="D142" s="207" t="s">
        <v>933</v>
      </c>
      <c r="E142" s="206" t="s">
        <v>144</v>
      </c>
      <c r="F142" s="208">
        <v>7</v>
      </c>
      <c r="G142" s="209">
        <v>105.189483</v>
      </c>
      <c r="H142" s="209">
        <v>736.32638099999997</v>
      </c>
      <c r="I142" s="210">
        <f t="shared" si="4"/>
        <v>6.1852916813580599E-4</v>
      </c>
      <c r="J142" s="211">
        <f t="shared" si="5"/>
        <v>0.97232643844318445</v>
      </c>
      <c r="K142" s="212" t="s">
        <v>662</v>
      </c>
    </row>
    <row r="143" spans="1:11" s="151" customFormat="1" ht="30" x14ac:dyDescent="0.25">
      <c r="A143" s="205" t="s">
        <v>554</v>
      </c>
      <c r="B143" s="206">
        <v>91940</v>
      </c>
      <c r="C143" s="206" t="s">
        <v>17</v>
      </c>
      <c r="D143" s="207" t="s">
        <v>152</v>
      </c>
      <c r="E143" s="206" t="s">
        <v>144</v>
      </c>
      <c r="F143" s="208">
        <v>33</v>
      </c>
      <c r="G143" s="209">
        <v>22.203810999999998</v>
      </c>
      <c r="H143" s="209">
        <v>732.72576299999992</v>
      </c>
      <c r="I143" s="210">
        <f t="shared" si="4"/>
        <v>6.1550457562658438E-4</v>
      </c>
      <c r="J143" s="211">
        <f t="shared" si="5"/>
        <v>0.97294194301881098</v>
      </c>
      <c r="K143" s="212" t="s">
        <v>662</v>
      </c>
    </row>
    <row r="144" spans="1:11" s="151" customFormat="1" ht="30" x14ac:dyDescent="0.25">
      <c r="A144" s="205" t="s">
        <v>235</v>
      </c>
      <c r="B144" s="213" t="s">
        <v>563</v>
      </c>
      <c r="C144" s="206" t="s">
        <v>156</v>
      </c>
      <c r="D144" s="207" t="s">
        <v>849</v>
      </c>
      <c r="E144" s="206" t="s">
        <v>144</v>
      </c>
      <c r="F144" s="208">
        <v>1</v>
      </c>
      <c r="G144" s="209">
        <v>673.02163799999994</v>
      </c>
      <c r="H144" s="209">
        <v>673.02163799999994</v>
      </c>
      <c r="I144" s="210">
        <f t="shared" si="4"/>
        <v>5.65351893713472E-4</v>
      </c>
      <c r="J144" s="211">
        <f t="shared" si="5"/>
        <v>0.97350729491252441</v>
      </c>
      <c r="K144" s="212" t="s">
        <v>662</v>
      </c>
    </row>
    <row r="145" spans="1:11" s="151" customFormat="1" ht="30" x14ac:dyDescent="0.25">
      <c r="A145" s="205" t="s">
        <v>510</v>
      </c>
      <c r="B145" s="206">
        <v>11304</v>
      </c>
      <c r="C145" s="206" t="s">
        <v>140</v>
      </c>
      <c r="D145" s="207" t="s">
        <v>879</v>
      </c>
      <c r="E145" s="206" t="s">
        <v>144</v>
      </c>
      <c r="F145" s="208">
        <v>130</v>
      </c>
      <c r="G145" s="209">
        <v>5.0212699999999995</v>
      </c>
      <c r="H145" s="209">
        <v>652.76509999999996</v>
      </c>
      <c r="I145" s="210">
        <f t="shared" si="4"/>
        <v>5.4833598891669512E-4</v>
      </c>
      <c r="J145" s="211">
        <f t="shared" si="5"/>
        <v>0.97405563090144109</v>
      </c>
      <c r="K145" s="212" t="s">
        <v>662</v>
      </c>
    </row>
    <row r="146" spans="1:11" s="151" customFormat="1" ht="45" x14ac:dyDescent="0.25">
      <c r="A146" s="205" t="s">
        <v>491</v>
      </c>
      <c r="B146" s="206">
        <v>101879</v>
      </c>
      <c r="C146" s="206" t="s">
        <v>17</v>
      </c>
      <c r="D146" s="207" t="s">
        <v>423</v>
      </c>
      <c r="E146" s="206" t="s">
        <v>144</v>
      </c>
      <c r="F146" s="208">
        <v>1</v>
      </c>
      <c r="G146" s="209">
        <v>643.65333199999986</v>
      </c>
      <c r="H146" s="209">
        <v>643.65333199999986</v>
      </c>
      <c r="I146" s="210">
        <f t="shared" si="4"/>
        <v>5.4068191807703225E-4</v>
      </c>
      <c r="J146" s="211">
        <f t="shared" si="5"/>
        <v>0.97459631281951808</v>
      </c>
      <c r="K146" s="212" t="s">
        <v>662</v>
      </c>
    </row>
    <row r="147" spans="1:11" s="151" customFormat="1" ht="30" x14ac:dyDescent="0.25">
      <c r="A147" s="205" t="s">
        <v>71</v>
      </c>
      <c r="B147" s="207" t="s">
        <v>986</v>
      </c>
      <c r="C147" s="206" t="s">
        <v>156</v>
      </c>
      <c r="D147" s="207" t="s">
        <v>354</v>
      </c>
      <c r="E147" s="206" t="s">
        <v>474</v>
      </c>
      <c r="F147" s="208">
        <v>7</v>
      </c>
      <c r="G147" s="209">
        <v>87.821473432000005</v>
      </c>
      <c r="H147" s="209">
        <v>614.75031402400009</v>
      </c>
      <c r="I147" s="210">
        <f t="shared" si="4"/>
        <v>5.1640279386443752E-4</v>
      </c>
      <c r="J147" s="211">
        <f t="shared" si="5"/>
        <v>0.97511271561338253</v>
      </c>
      <c r="K147" s="212" t="s">
        <v>662</v>
      </c>
    </row>
    <row r="148" spans="1:11" s="151" customFormat="1" ht="30" x14ac:dyDescent="0.25">
      <c r="A148" s="205" t="s">
        <v>230</v>
      </c>
      <c r="B148" s="213" t="s">
        <v>412</v>
      </c>
      <c r="C148" s="206" t="s">
        <v>156</v>
      </c>
      <c r="D148" s="207" t="s">
        <v>844</v>
      </c>
      <c r="E148" s="206" t="s">
        <v>144</v>
      </c>
      <c r="F148" s="208">
        <v>1</v>
      </c>
      <c r="G148" s="209">
        <v>605.7121259999999</v>
      </c>
      <c r="H148" s="209">
        <v>605.7121259999999</v>
      </c>
      <c r="I148" s="210">
        <f t="shared" si="4"/>
        <v>5.0881053170435085E-4</v>
      </c>
      <c r="J148" s="211">
        <f t="shared" si="5"/>
        <v>0.9756215261450869</v>
      </c>
      <c r="K148" s="212" t="s">
        <v>662</v>
      </c>
    </row>
    <row r="149" spans="1:11" s="151" customFormat="1" ht="30" x14ac:dyDescent="0.25">
      <c r="A149" s="205" t="s">
        <v>1025</v>
      </c>
      <c r="B149" s="206">
        <v>91934</v>
      </c>
      <c r="C149" s="206" t="s">
        <v>17</v>
      </c>
      <c r="D149" s="207" t="s">
        <v>896</v>
      </c>
      <c r="E149" s="206" t="s">
        <v>143</v>
      </c>
      <c r="F149" s="208">
        <v>18</v>
      </c>
      <c r="G149" s="209">
        <v>33.605767999999998</v>
      </c>
      <c r="H149" s="209">
        <v>604.90382399999999</v>
      </c>
      <c r="I149" s="210">
        <f t="shared" si="4"/>
        <v>5.0813154154921963E-4</v>
      </c>
      <c r="J149" s="211">
        <f t="shared" si="5"/>
        <v>0.97612965768663618</v>
      </c>
      <c r="K149" s="212" t="s">
        <v>662</v>
      </c>
    </row>
    <row r="150" spans="1:11" s="151" customFormat="1" ht="32.25" customHeight="1" x14ac:dyDescent="0.25">
      <c r="A150" s="205" t="s">
        <v>91</v>
      </c>
      <c r="B150" s="206" t="s">
        <v>840</v>
      </c>
      <c r="C150" s="207" t="s">
        <v>156</v>
      </c>
      <c r="D150" s="328" t="s">
        <v>473</v>
      </c>
      <c r="E150" s="206" t="s">
        <v>144</v>
      </c>
      <c r="F150" s="208">
        <v>19</v>
      </c>
      <c r="G150" s="209">
        <v>31.578889499999999</v>
      </c>
      <c r="H150" s="209">
        <v>599.99890049999999</v>
      </c>
      <c r="I150" s="210">
        <f t="shared" si="4"/>
        <v>5.0401130583512693E-4</v>
      </c>
      <c r="J150" s="211">
        <f t="shared" si="5"/>
        <v>0.97663366899247128</v>
      </c>
      <c r="K150" s="212" t="s">
        <v>662</v>
      </c>
    </row>
    <row r="151" spans="1:11" s="151" customFormat="1" x14ac:dyDescent="0.25">
      <c r="A151" s="205" t="s">
        <v>65</v>
      </c>
      <c r="B151" s="206" t="s">
        <v>841</v>
      </c>
      <c r="C151" s="207" t="s">
        <v>156</v>
      </c>
      <c r="D151" s="328" t="s">
        <v>560</v>
      </c>
      <c r="E151" s="206" t="s">
        <v>144</v>
      </c>
      <c r="F151" s="208">
        <v>19</v>
      </c>
      <c r="G151" s="209">
        <v>31.578889499999999</v>
      </c>
      <c r="H151" s="209">
        <v>599.99890049999999</v>
      </c>
      <c r="I151" s="210">
        <f t="shared" si="4"/>
        <v>5.0401130583512693E-4</v>
      </c>
      <c r="J151" s="211">
        <f t="shared" si="5"/>
        <v>0.97713768029830639</v>
      </c>
      <c r="K151" s="212" t="s">
        <v>662</v>
      </c>
    </row>
    <row r="152" spans="1:11" s="151" customFormat="1" x14ac:dyDescent="0.25">
      <c r="A152" s="205" t="s">
        <v>789</v>
      </c>
      <c r="B152" s="207">
        <v>23453</v>
      </c>
      <c r="C152" s="206" t="s">
        <v>790</v>
      </c>
      <c r="D152" s="207" t="s">
        <v>792</v>
      </c>
      <c r="E152" s="206" t="s">
        <v>474</v>
      </c>
      <c r="F152" s="208">
        <v>11</v>
      </c>
      <c r="G152" s="209">
        <v>52.833557999999996</v>
      </c>
      <c r="H152" s="209">
        <v>581.16913799999998</v>
      </c>
      <c r="I152" s="210">
        <f t="shared" si="4"/>
        <v>4.8819392153945308E-4</v>
      </c>
      <c r="J152" s="211">
        <f t="shared" si="5"/>
        <v>0.97762587421984581</v>
      </c>
      <c r="K152" s="212" t="s">
        <v>662</v>
      </c>
    </row>
    <row r="153" spans="1:11" s="151" customFormat="1" x14ac:dyDescent="0.25">
      <c r="A153" s="205" t="s">
        <v>1035</v>
      </c>
      <c r="B153" s="206">
        <v>12500</v>
      </c>
      <c r="C153" s="206" t="s">
        <v>140</v>
      </c>
      <c r="D153" s="207" t="s">
        <v>919</v>
      </c>
      <c r="E153" s="206" t="s">
        <v>143</v>
      </c>
      <c r="F153" s="208">
        <v>69</v>
      </c>
      <c r="G153" s="209">
        <v>8.4136889999999998</v>
      </c>
      <c r="H153" s="209">
        <v>580.54454099999998</v>
      </c>
      <c r="I153" s="210">
        <f t="shared" si="4"/>
        <v>4.8766924732866973E-4</v>
      </c>
      <c r="J153" s="211">
        <f t="shared" si="5"/>
        <v>0.9781135434671745</v>
      </c>
      <c r="K153" s="212" t="s">
        <v>662</v>
      </c>
    </row>
    <row r="154" spans="1:11" s="151" customFormat="1" ht="30" x14ac:dyDescent="0.25">
      <c r="A154" s="205" t="s">
        <v>286</v>
      </c>
      <c r="B154" s="206">
        <v>96358</v>
      </c>
      <c r="C154" s="207" t="s">
        <v>17</v>
      </c>
      <c r="D154" s="207" t="s">
        <v>103</v>
      </c>
      <c r="E154" s="206" t="s">
        <v>107</v>
      </c>
      <c r="F154" s="208">
        <v>5.0415999999999999</v>
      </c>
      <c r="G154" s="209">
        <v>114.70540199999999</v>
      </c>
      <c r="H154" s="209">
        <v>578.29875472319998</v>
      </c>
      <c r="I154" s="210">
        <f t="shared" si="4"/>
        <v>4.8578274108165273E-4</v>
      </c>
      <c r="J154" s="211">
        <f t="shared" si="5"/>
        <v>0.97859932620825618</v>
      </c>
      <c r="K154" s="212" t="s">
        <v>662</v>
      </c>
    </row>
    <row r="155" spans="1:11" s="151" customFormat="1" ht="30" x14ac:dyDescent="0.25">
      <c r="A155" s="205" t="s">
        <v>699</v>
      </c>
      <c r="B155" s="206">
        <v>91953</v>
      </c>
      <c r="C155" s="206" t="s">
        <v>17</v>
      </c>
      <c r="D155" s="207" t="s">
        <v>935</v>
      </c>
      <c r="E155" s="206" t="s">
        <v>144</v>
      </c>
      <c r="F155" s="208">
        <v>16</v>
      </c>
      <c r="G155" s="209">
        <v>35.785733999999998</v>
      </c>
      <c r="H155" s="209">
        <v>572.57174399999997</v>
      </c>
      <c r="I155" s="210">
        <f t="shared" si="4"/>
        <v>4.8097193534396489E-4</v>
      </c>
      <c r="J155" s="211">
        <f t="shared" si="5"/>
        <v>0.97908029814360009</v>
      </c>
      <c r="K155" s="212" t="s">
        <v>662</v>
      </c>
    </row>
    <row r="156" spans="1:11" s="151" customFormat="1" x14ac:dyDescent="0.25">
      <c r="A156" s="205" t="s">
        <v>513</v>
      </c>
      <c r="B156" s="206">
        <v>12500</v>
      </c>
      <c r="C156" s="206" t="s">
        <v>140</v>
      </c>
      <c r="D156" s="207" t="s">
        <v>919</v>
      </c>
      <c r="E156" s="206" t="s">
        <v>143</v>
      </c>
      <c r="F156" s="208">
        <v>68</v>
      </c>
      <c r="G156" s="209">
        <v>8.4136889999999998</v>
      </c>
      <c r="H156" s="209">
        <v>572.130852</v>
      </c>
      <c r="I156" s="210">
        <f t="shared" si="4"/>
        <v>4.8060157707752963E-4</v>
      </c>
      <c r="J156" s="211">
        <f t="shared" si="5"/>
        <v>0.97956089972067761</v>
      </c>
      <c r="K156" s="212" t="s">
        <v>662</v>
      </c>
    </row>
    <row r="157" spans="1:11" s="151" customFormat="1" ht="30" x14ac:dyDescent="0.25">
      <c r="A157" s="205" t="s">
        <v>744</v>
      </c>
      <c r="B157" s="206" t="s">
        <v>835</v>
      </c>
      <c r="C157" s="206" t="s">
        <v>106</v>
      </c>
      <c r="D157" s="207" t="s">
        <v>740</v>
      </c>
      <c r="E157" s="206" t="s">
        <v>144</v>
      </c>
      <c r="F157" s="208">
        <v>140</v>
      </c>
      <c r="G157" s="209">
        <v>4.0649834166666663</v>
      </c>
      <c r="H157" s="209">
        <v>569.09767833333331</v>
      </c>
      <c r="I157" s="210">
        <f t="shared" si="4"/>
        <v>4.780536493741831E-4</v>
      </c>
      <c r="J157" s="211">
        <f t="shared" si="5"/>
        <v>0.98003895337005176</v>
      </c>
      <c r="K157" s="212" t="s">
        <v>662</v>
      </c>
    </row>
    <row r="158" spans="1:11" s="151" customFormat="1" ht="30" x14ac:dyDescent="0.25">
      <c r="A158" s="205" t="s">
        <v>1087</v>
      </c>
      <c r="B158" s="206" t="s">
        <v>17</v>
      </c>
      <c r="C158" s="206">
        <v>103689</v>
      </c>
      <c r="D158" s="207" t="s">
        <v>1086</v>
      </c>
      <c r="E158" s="206" t="s">
        <v>107</v>
      </c>
      <c r="F158" s="208">
        <v>1</v>
      </c>
      <c r="G158" s="209">
        <v>561.19428099999993</v>
      </c>
      <c r="H158" s="209">
        <v>561.19428099999993</v>
      </c>
      <c r="I158" s="210">
        <f t="shared" si="4"/>
        <v>4.7141463452400969E-4</v>
      </c>
      <c r="J158" s="211">
        <f t="shared" si="5"/>
        <v>0.98051036800457581</v>
      </c>
      <c r="K158" s="212" t="s">
        <v>662</v>
      </c>
    </row>
    <row r="159" spans="1:11" s="151" customFormat="1" x14ac:dyDescent="0.25">
      <c r="A159" s="205" t="s">
        <v>1080</v>
      </c>
      <c r="B159" s="206">
        <v>12500</v>
      </c>
      <c r="C159" s="206" t="s">
        <v>140</v>
      </c>
      <c r="D159" s="207" t="s">
        <v>919</v>
      </c>
      <c r="E159" s="206" t="s">
        <v>144</v>
      </c>
      <c r="F159" s="208">
        <v>66</v>
      </c>
      <c r="G159" s="209">
        <v>8.4136889999999998</v>
      </c>
      <c r="H159" s="209">
        <v>555.30347399999994</v>
      </c>
      <c r="I159" s="210">
        <f t="shared" si="4"/>
        <v>4.6646623657524926E-4</v>
      </c>
      <c r="J159" s="211">
        <f t="shared" si="5"/>
        <v>0.98097683424115101</v>
      </c>
      <c r="K159" s="212" t="s">
        <v>662</v>
      </c>
    </row>
    <row r="160" spans="1:11" s="151" customFormat="1" ht="30" x14ac:dyDescent="0.25">
      <c r="A160" s="205" t="s">
        <v>1065</v>
      </c>
      <c r="B160" s="206" t="s">
        <v>437</v>
      </c>
      <c r="C160" s="206" t="s">
        <v>6</v>
      </c>
      <c r="D160" s="207" t="s">
        <v>669</v>
      </c>
      <c r="E160" s="206" t="s">
        <v>143</v>
      </c>
      <c r="F160" s="208">
        <v>9</v>
      </c>
      <c r="G160" s="209">
        <v>60.022546999999996</v>
      </c>
      <c r="H160" s="209">
        <v>540.20292299999994</v>
      </c>
      <c r="I160" s="210">
        <f t="shared" si="4"/>
        <v>4.5378146594984056E-4</v>
      </c>
      <c r="J160" s="211">
        <f t="shared" si="5"/>
        <v>0.98143061570710088</v>
      </c>
      <c r="K160" s="212" t="s">
        <v>662</v>
      </c>
    </row>
    <row r="161" spans="1:11" s="151" customFormat="1" x14ac:dyDescent="0.25">
      <c r="A161" s="205" t="s">
        <v>1077</v>
      </c>
      <c r="B161" s="206">
        <v>10620</v>
      </c>
      <c r="C161" s="206" t="s">
        <v>140</v>
      </c>
      <c r="D161" s="207" t="s">
        <v>462</v>
      </c>
      <c r="E161" s="206" t="s">
        <v>144</v>
      </c>
      <c r="F161" s="208">
        <v>100</v>
      </c>
      <c r="G161" s="209">
        <v>5.3519389999999998</v>
      </c>
      <c r="H161" s="209">
        <v>535.19389999999999</v>
      </c>
      <c r="I161" s="210">
        <f t="shared" si="4"/>
        <v>4.4957378453395076E-4</v>
      </c>
      <c r="J161" s="211">
        <f t="shared" si="5"/>
        <v>0.9818801894916348</v>
      </c>
      <c r="K161" s="212" t="s">
        <v>662</v>
      </c>
    </row>
    <row r="162" spans="1:11" s="151" customFormat="1" ht="30" x14ac:dyDescent="0.25">
      <c r="A162" s="205" t="s">
        <v>493</v>
      </c>
      <c r="B162" s="206">
        <v>93660</v>
      </c>
      <c r="C162" s="206" t="s">
        <v>17</v>
      </c>
      <c r="D162" s="207" t="s">
        <v>640</v>
      </c>
      <c r="E162" s="206" t="s">
        <v>144</v>
      </c>
      <c r="F162" s="208">
        <v>5</v>
      </c>
      <c r="G162" s="209">
        <v>106.74485199999998</v>
      </c>
      <c r="H162" s="209">
        <v>533.72425999999996</v>
      </c>
      <c r="I162" s="210">
        <f t="shared" si="4"/>
        <v>4.4833925697916643E-4</v>
      </c>
      <c r="J162" s="211">
        <f t="shared" si="5"/>
        <v>0.98232852874861398</v>
      </c>
      <c r="K162" s="212" t="s">
        <v>662</v>
      </c>
    </row>
    <row r="163" spans="1:11" s="151" customFormat="1" ht="30" x14ac:dyDescent="0.25">
      <c r="A163" s="205" t="s">
        <v>47</v>
      </c>
      <c r="B163" s="206" t="s">
        <v>361</v>
      </c>
      <c r="C163" s="206" t="s">
        <v>6</v>
      </c>
      <c r="D163" s="207" t="s">
        <v>360</v>
      </c>
      <c r="E163" s="206" t="s">
        <v>107</v>
      </c>
      <c r="F163" s="208">
        <v>483.55</v>
      </c>
      <c r="G163" s="209">
        <v>1.10223</v>
      </c>
      <c r="H163" s="209">
        <v>532.9833165</v>
      </c>
      <c r="I163" s="210">
        <f t="shared" si="4"/>
        <v>4.4771684933696271E-4</v>
      </c>
      <c r="J163" s="211">
        <f t="shared" si="5"/>
        <v>0.98277624559795096</v>
      </c>
      <c r="K163" s="212" t="s">
        <v>662</v>
      </c>
    </row>
    <row r="164" spans="1:11" s="151" customFormat="1" x14ac:dyDescent="0.25">
      <c r="A164" s="205" t="s">
        <v>225</v>
      </c>
      <c r="B164" s="206" t="s">
        <v>361</v>
      </c>
      <c r="C164" s="206" t="s">
        <v>6</v>
      </c>
      <c r="D164" s="207" t="s">
        <v>222</v>
      </c>
      <c r="E164" s="206" t="s">
        <v>107</v>
      </c>
      <c r="F164" s="208">
        <v>483.55</v>
      </c>
      <c r="G164" s="209">
        <v>1.10223</v>
      </c>
      <c r="H164" s="209">
        <v>532.9833165</v>
      </c>
      <c r="I164" s="210">
        <f t="shared" si="4"/>
        <v>4.4771684933696271E-4</v>
      </c>
      <c r="J164" s="211">
        <f t="shared" si="5"/>
        <v>0.98322396244728794</v>
      </c>
      <c r="K164" s="212" t="s">
        <v>662</v>
      </c>
    </row>
    <row r="165" spans="1:11" s="151" customFormat="1" ht="30" x14ac:dyDescent="0.25">
      <c r="A165" s="205" t="s">
        <v>480</v>
      </c>
      <c r="B165" s="206" t="s">
        <v>361</v>
      </c>
      <c r="C165" s="206" t="s">
        <v>6</v>
      </c>
      <c r="D165" s="207" t="s">
        <v>223</v>
      </c>
      <c r="E165" s="206" t="s">
        <v>107</v>
      </c>
      <c r="F165" s="208">
        <v>483.55</v>
      </c>
      <c r="G165" s="209">
        <v>1.10223</v>
      </c>
      <c r="H165" s="209">
        <v>532.9833165</v>
      </c>
      <c r="I165" s="210">
        <f t="shared" si="4"/>
        <v>4.4771684933696271E-4</v>
      </c>
      <c r="J165" s="211">
        <f t="shared" si="5"/>
        <v>0.98367167929662491</v>
      </c>
      <c r="K165" s="212" t="s">
        <v>662</v>
      </c>
    </row>
    <row r="166" spans="1:11" s="151" customFormat="1" x14ac:dyDescent="0.25">
      <c r="A166" s="205" t="s">
        <v>55</v>
      </c>
      <c r="B166" s="206">
        <v>96374</v>
      </c>
      <c r="C166" s="206" t="s">
        <v>17</v>
      </c>
      <c r="D166" s="207" t="s">
        <v>649</v>
      </c>
      <c r="E166" s="206" t="s">
        <v>143</v>
      </c>
      <c r="F166" s="208">
        <v>11.04</v>
      </c>
      <c r="G166" s="209">
        <v>47.836781999999999</v>
      </c>
      <c r="H166" s="209">
        <v>528.11807327999998</v>
      </c>
      <c r="I166" s="210">
        <f t="shared" si="4"/>
        <v>4.4362994586684927E-4</v>
      </c>
      <c r="J166" s="211">
        <f t="shared" si="5"/>
        <v>0.9841153092424918</v>
      </c>
      <c r="K166" s="212" t="s">
        <v>662</v>
      </c>
    </row>
    <row r="167" spans="1:11" s="151" customFormat="1" x14ac:dyDescent="0.25">
      <c r="A167" s="205" t="s">
        <v>496</v>
      </c>
      <c r="B167" s="206" t="s">
        <v>425</v>
      </c>
      <c r="C167" s="206" t="s">
        <v>6</v>
      </c>
      <c r="D167" s="207" t="s">
        <v>424</v>
      </c>
      <c r="E167" s="206" t="s">
        <v>144</v>
      </c>
      <c r="F167" s="208">
        <v>4</v>
      </c>
      <c r="G167" s="209">
        <v>131.78996699999999</v>
      </c>
      <c r="H167" s="209">
        <v>527.15986799999996</v>
      </c>
      <c r="I167" s="210">
        <f t="shared" si="4"/>
        <v>4.4282503390112989E-4</v>
      </c>
      <c r="J167" s="211">
        <f t="shared" si="5"/>
        <v>0.98455813427639294</v>
      </c>
      <c r="K167" s="212" t="s">
        <v>662</v>
      </c>
    </row>
    <row r="168" spans="1:11" s="151" customFormat="1" x14ac:dyDescent="0.25">
      <c r="A168" s="205" t="s">
        <v>1058</v>
      </c>
      <c r="B168" s="206" t="s">
        <v>425</v>
      </c>
      <c r="C168" s="206" t="s">
        <v>6</v>
      </c>
      <c r="D168" s="207" t="s">
        <v>424</v>
      </c>
      <c r="E168" s="206" t="s">
        <v>144</v>
      </c>
      <c r="F168" s="208">
        <v>4</v>
      </c>
      <c r="G168" s="209">
        <v>131.78996699999999</v>
      </c>
      <c r="H168" s="209">
        <v>527.15986799999996</v>
      </c>
      <c r="I168" s="210">
        <f t="shared" si="4"/>
        <v>4.4282503390112989E-4</v>
      </c>
      <c r="J168" s="211">
        <f t="shared" si="5"/>
        <v>0.98500095931029408</v>
      </c>
      <c r="K168" s="212" t="s">
        <v>662</v>
      </c>
    </row>
    <row r="169" spans="1:11" s="151" customFormat="1" x14ac:dyDescent="0.25">
      <c r="A169" s="205" t="s">
        <v>1050</v>
      </c>
      <c r="B169" s="206">
        <v>9816</v>
      </c>
      <c r="C169" s="206" t="s">
        <v>140</v>
      </c>
      <c r="D169" s="207" t="s">
        <v>449</v>
      </c>
      <c r="E169" s="206" t="s">
        <v>144</v>
      </c>
      <c r="F169" s="208">
        <v>924</v>
      </c>
      <c r="G169" s="209">
        <v>0.56336200000000003</v>
      </c>
      <c r="H169" s="209">
        <v>520.54648800000007</v>
      </c>
      <c r="I169" s="210">
        <f t="shared" si="4"/>
        <v>4.3726965990460059E-4</v>
      </c>
      <c r="J169" s="211">
        <f t="shared" si="5"/>
        <v>0.98543822897019873</v>
      </c>
      <c r="K169" s="212" t="s">
        <v>662</v>
      </c>
    </row>
    <row r="170" spans="1:11" s="151" customFormat="1" x14ac:dyDescent="0.25">
      <c r="A170" s="205" t="s">
        <v>499</v>
      </c>
      <c r="B170" s="206" t="s">
        <v>971</v>
      </c>
      <c r="C170" s="206" t="s">
        <v>156</v>
      </c>
      <c r="D170" s="207" t="s">
        <v>691</v>
      </c>
      <c r="E170" s="206" t="s">
        <v>445</v>
      </c>
      <c r="F170" s="208">
        <v>1</v>
      </c>
      <c r="G170" s="209">
        <v>500.02051599999993</v>
      </c>
      <c r="H170" s="209">
        <v>500.02051599999993</v>
      </c>
      <c r="I170" s="210">
        <f t="shared" si="4"/>
        <v>4.2002742505611304E-4</v>
      </c>
      <c r="J170" s="211">
        <f t="shared" si="5"/>
        <v>0.98585825639525482</v>
      </c>
      <c r="K170" s="212" t="s">
        <v>662</v>
      </c>
    </row>
    <row r="171" spans="1:11" s="151" customFormat="1" x14ac:dyDescent="0.25">
      <c r="A171" s="205" t="s">
        <v>485</v>
      </c>
      <c r="B171" s="206">
        <v>90456</v>
      </c>
      <c r="C171" s="206" t="s">
        <v>17</v>
      </c>
      <c r="D171" s="207" t="s">
        <v>455</v>
      </c>
      <c r="E171" s="206" t="s">
        <v>144</v>
      </c>
      <c r="F171" s="208">
        <v>75</v>
      </c>
      <c r="G171" s="209">
        <v>6.6623679999999998</v>
      </c>
      <c r="H171" s="209">
        <v>499.67759999999998</v>
      </c>
      <c r="I171" s="210">
        <f t="shared" si="4"/>
        <v>4.197393686266634E-4</v>
      </c>
      <c r="J171" s="211">
        <f t="shared" si="5"/>
        <v>0.98627799576388153</v>
      </c>
      <c r="K171" s="212" t="s">
        <v>662</v>
      </c>
    </row>
    <row r="172" spans="1:11" s="151" customFormat="1" ht="30" x14ac:dyDescent="0.25">
      <c r="A172" s="205" t="s">
        <v>492</v>
      </c>
      <c r="B172" s="206" t="s">
        <v>901</v>
      </c>
      <c r="C172" s="206" t="s">
        <v>6</v>
      </c>
      <c r="D172" s="207" t="s">
        <v>900</v>
      </c>
      <c r="E172" s="206" t="s">
        <v>144</v>
      </c>
      <c r="F172" s="208">
        <v>1</v>
      </c>
      <c r="G172" s="209">
        <v>470.12558899999999</v>
      </c>
      <c r="H172" s="209">
        <v>470.12558899999999</v>
      </c>
      <c r="I172" s="210">
        <f t="shared" si="4"/>
        <v>3.9491507704587567E-4</v>
      </c>
      <c r="J172" s="211">
        <f t="shared" si="5"/>
        <v>0.98667291084092745</v>
      </c>
      <c r="K172" s="212" t="s">
        <v>662</v>
      </c>
    </row>
    <row r="173" spans="1:11" s="151" customFormat="1" ht="30" x14ac:dyDescent="0.25">
      <c r="A173" s="205" t="s">
        <v>1055</v>
      </c>
      <c r="B173" s="206" t="s">
        <v>901</v>
      </c>
      <c r="C173" s="206" t="s">
        <v>6</v>
      </c>
      <c r="D173" s="207" t="s">
        <v>900</v>
      </c>
      <c r="E173" s="206" t="s">
        <v>144</v>
      </c>
      <c r="F173" s="208">
        <v>1</v>
      </c>
      <c r="G173" s="209">
        <v>470.12558899999999</v>
      </c>
      <c r="H173" s="209">
        <v>470.12558899999999</v>
      </c>
      <c r="I173" s="210">
        <f t="shared" si="4"/>
        <v>3.9491507704587567E-4</v>
      </c>
      <c r="J173" s="211">
        <f t="shared" si="5"/>
        <v>0.98706782591797337</v>
      </c>
      <c r="K173" s="212" t="s">
        <v>662</v>
      </c>
    </row>
    <row r="174" spans="1:11" s="151" customFormat="1" ht="30" x14ac:dyDescent="0.25">
      <c r="A174" s="205" t="s">
        <v>677</v>
      </c>
      <c r="B174" s="206" t="s">
        <v>678</v>
      </c>
      <c r="C174" s="207" t="s">
        <v>6</v>
      </c>
      <c r="D174" s="328" t="s">
        <v>679</v>
      </c>
      <c r="E174" s="206" t="s">
        <v>144</v>
      </c>
      <c r="F174" s="208">
        <v>12</v>
      </c>
      <c r="G174" s="209">
        <v>37.475819999999999</v>
      </c>
      <c r="H174" s="209">
        <v>449.70983999999999</v>
      </c>
      <c r="I174" s="210">
        <f t="shared" si="4"/>
        <v>3.7776543176399707E-4</v>
      </c>
      <c r="J174" s="211">
        <f t="shared" si="5"/>
        <v>0.98744559134973742</v>
      </c>
      <c r="K174" s="212" t="s">
        <v>662</v>
      </c>
    </row>
    <row r="175" spans="1:11" s="151" customFormat="1" x14ac:dyDescent="0.25">
      <c r="A175" s="205" t="s">
        <v>1082</v>
      </c>
      <c r="B175" s="206">
        <v>9832</v>
      </c>
      <c r="C175" s="206" t="s">
        <v>140</v>
      </c>
      <c r="D175" s="207" t="s">
        <v>451</v>
      </c>
      <c r="E175" s="206" t="s">
        <v>144</v>
      </c>
      <c r="F175" s="208">
        <v>304</v>
      </c>
      <c r="G175" s="209">
        <v>1.4696399999999998</v>
      </c>
      <c r="H175" s="209">
        <v>446.77055999999993</v>
      </c>
      <c r="I175" s="210">
        <f t="shared" si="4"/>
        <v>3.7529637665442841E-4</v>
      </c>
      <c r="J175" s="211">
        <f t="shared" si="5"/>
        <v>0.98782088772639187</v>
      </c>
      <c r="K175" s="212" t="s">
        <v>662</v>
      </c>
    </row>
    <row r="176" spans="1:11" s="151" customFormat="1" x14ac:dyDescent="0.25">
      <c r="A176" s="205" t="s">
        <v>721</v>
      </c>
      <c r="B176" s="206">
        <v>11303</v>
      </c>
      <c r="C176" s="206" t="s">
        <v>140</v>
      </c>
      <c r="D176" s="207" t="s">
        <v>463</v>
      </c>
      <c r="E176" s="206" t="s">
        <v>144</v>
      </c>
      <c r="F176" s="208">
        <v>54</v>
      </c>
      <c r="G176" s="209">
        <v>7.7278569999999993</v>
      </c>
      <c r="H176" s="209">
        <v>417.30427799999995</v>
      </c>
      <c r="I176" s="210">
        <f t="shared" si="4"/>
        <v>3.5054409918100314E-4</v>
      </c>
      <c r="J176" s="211">
        <f t="shared" si="5"/>
        <v>0.98817143182557288</v>
      </c>
      <c r="K176" s="212" t="s">
        <v>662</v>
      </c>
    </row>
    <row r="177" spans="1:11" s="151" customFormat="1" ht="50.25" customHeight="1" x14ac:dyDescent="0.25">
      <c r="A177" s="205" t="s">
        <v>1067</v>
      </c>
      <c r="B177" s="206">
        <v>91934</v>
      </c>
      <c r="C177" s="206" t="s">
        <v>17</v>
      </c>
      <c r="D177" s="207" t="s">
        <v>896</v>
      </c>
      <c r="E177" s="206" t="s">
        <v>143</v>
      </c>
      <c r="F177" s="208">
        <v>12</v>
      </c>
      <c r="G177" s="209">
        <v>33.605767999999998</v>
      </c>
      <c r="H177" s="209">
        <v>403.26921599999997</v>
      </c>
      <c r="I177" s="210">
        <f t="shared" si="4"/>
        <v>3.3875436103281305E-4</v>
      </c>
      <c r="J177" s="211">
        <f t="shared" si="5"/>
        <v>0.98851018618660569</v>
      </c>
      <c r="K177" s="212" t="s">
        <v>662</v>
      </c>
    </row>
    <row r="178" spans="1:11" s="151" customFormat="1" x14ac:dyDescent="0.25">
      <c r="A178" s="205" t="s">
        <v>514</v>
      </c>
      <c r="B178" s="206">
        <v>9832</v>
      </c>
      <c r="C178" s="206" t="s">
        <v>140</v>
      </c>
      <c r="D178" s="207" t="s">
        <v>451</v>
      </c>
      <c r="E178" s="206" t="s">
        <v>144</v>
      </c>
      <c r="F178" s="208">
        <v>272</v>
      </c>
      <c r="G178" s="209">
        <v>1.4696399999999998</v>
      </c>
      <c r="H178" s="209">
        <v>399.74207999999993</v>
      </c>
      <c r="I178" s="210">
        <f t="shared" si="4"/>
        <v>3.3579149490133069E-4</v>
      </c>
      <c r="J178" s="211">
        <f t="shared" si="5"/>
        <v>0.98884597768150706</v>
      </c>
      <c r="K178" s="212" t="s">
        <v>662</v>
      </c>
    </row>
    <row r="179" spans="1:11" s="151" customFormat="1" ht="46.5" customHeight="1" x14ac:dyDescent="0.25">
      <c r="A179" s="205" t="s">
        <v>145</v>
      </c>
      <c r="B179" s="206">
        <v>90456</v>
      </c>
      <c r="C179" s="206" t="s">
        <v>17</v>
      </c>
      <c r="D179" s="207" t="s">
        <v>455</v>
      </c>
      <c r="E179" s="206" t="s">
        <v>144</v>
      </c>
      <c r="F179" s="208">
        <v>59</v>
      </c>
      <c r="G179" s="209">
        <v>6.6623679999999998</v>
      </c>
      <c r="H179" s="209">
        <v>393.07971199999997</v>
      </c>
      <c r="I179" s="210">
        <f t="shared" si="4"/>
        <v>3.3019496998630852E-4</v>
      </c>
      <c r="J179" s="211">
        <f t="shared" si="5"/>
        <v>0.98917617265149338</v>
      </c>
      <c r="K179" s="212" t="s">
        <v>662</v>
      </c>
    </row>
    <row r="180" spans="1:11" s="151" customFormat="1" ht="30" x14ac:dyDescent="0.25">
      <c r="A180" s="205" t="s">
        <v>1078</v>
      </c>
      <c r="B180" s="206">
        <v>11295</v>
      </c>
      <c r="C180" s="206" t="s">
        <v>140</v>
      </c>
      <c r="D180" s="207" t="s">
        <v>928</v>
      </c>
      <c r="E180" s="206" t="s">
        <v>144</v>
      </c>
      <c r="F180" s="208">
        <v>24</v>
      </c>
      <c r="G180" s="209">
        <v>15.933346999999998</v>
      </c>
      <c r="H180" s="209">
        <v>382.40032799999994</v>
      </c>
      <c r="I180" s="210">
        <f t="shared" si="4"/>
        <v>3.2122406975487592E-4</v>
      </c>
      <c r="J180" s="211">
        <f t="shared" si="5"/>
        <v>0.98949739672124826</v>
      </c>
      <c r="K180" s="212" t="s">
        <v>662</v>
      </c>
    </row>
    <row r="181" spans="1:11" s="151" customFormat="1" x14ac:dyDescent="0.25">
      <c r="A181" s="205" t="s">
        <v>1062</v>
      </c>
      <c r="B181" s="206" t="s">
        <v>972</v>
      </c>
      <c r="C181" s="206" t="s">
        <v>156</v>
      </c>
      <c r="D181" s="207" t="s">
        <v>691</v>
      </c>
      <c r="E181" s="206" t="s">
        <v>445</v>
      </c>
      <c r="F181" s="208">
        <v>1</v>
      </c>
      <c r="G181" s="209">
        <v>373.85192199999995</v>
      </c>
      <c r="H181" s="209">
        <v>373.85192199999995</v>
      </c>
      <c r="I181" s="210">
        <f t="shared" si="4"/>
        <v>3.1404323447788054E-4</v>
      </c>
      <c r="J181" s="211">
        <f t="shared" si="5"/>
        <v>0.98981143995572618</v>
      </c>
      <c r="K181" s="212" t="s">
        <v>662</v>
      </c>
    </row>
    <row r="182" spans="1:11" s="151" customFormat="1" ht="30" x14ac:dyDescent="0.25">
      <c r="A182" s="205" t="s">
        <v>892</v>
      </c>
      <c r="B182" s="206" t="s">
        <v>724</v>
      </c>
      <c r="C182" s="206" t="s">
        <v>6</v>
      </c>
      <c r="D182" s="207" t="s">
        <v>930</v>
      </c>
      <c r="E182" s="206" t="s">
        <v>144</v>
      </c>
      <c r="F182" s="208">
        <v>8</v>
      </c>
      <c r="G182" s="209">
        <v>46.244671999999994</v>
      </c>
      <c r="H182" s="209">
        <v>369.95737599999995</v>
      </c>
      <c r="I182" s="210">
        <f t="shared" si="4"/>
        <v>3.1077173645770211E-4</v>
      </c>
      <c r="J182" s="211">
        <f t="shared" si="5"/>
        <v>0.99012221169218384</v>
      </c>
      <c r="K182" s="212" t="s">
        <v>662</v>
      </c>
    </row>
    <row r="183" spans="1:11" s="151" customFormat="1" ht="30" x14ac:dyDescent="0.25">
      <c r="A183" s="205" t="s">
        <v>703</v>
      </c>
      <c r="B183" s="206">
        <v>91943</v>
      </c>
      <c r="C183" s="206" t="s">
        <v>17</v>
      </c>
      <c r="D183" s="207" t="s">
        <v>720</v>
      </c>
      <c r="E183" s="206" t="s">
        <v>144</v>
      </c>
      <c r="F183" s="208">
        <v>14</v>
      </c>
      <c r="G183" s="209">
        <v>26.135097999999999</v>
      </c>
      <c r="H183" s="209">
        <v>365.89137199999999</v>
      </c>
      <c r="I183" s="210">
        <f t="shared" si="4"/>
        <v>3.0735621022279892E-4</v>
      </c>
      <c r="J183" s="211">
        <f t="shared" si="5"/>
        <v>0.99042956790240666</v>
      </c>
      <c r="K183" s="212" t="s">
        <v>662</v>
      </c>
    </row>
    <row r="184" spans="1:11" s="151" customFormat="1" ht="30" x14ac:dyDescent="0.25">
      <c r="A184" s="205" t="s">
        <v>487</v>
      </c>
      <c r="B184" s="206" t="s">
        <v>437</v>
      </c>
      <c r="C184" s="206" t="s">
        <v>6</v>
      </c>
      <c r="D184" s="207" t="s">
        <v>669</v>
      </c>
      <c r="E184" s="206" t="s">
        <v>143</v>
      </c>
      <c r="F184" s="208">
        <v>6</v>
      </c>
      <c r="G184" s="209">
        <v>60.022546999999996</v>
      </c>
      <c r="H184" s="209">
        <v>360.13528199999996</v>
      </c>
      <c r="I184" s="210">
        <f t="shared" si="4"/>
        <v>3.0252097729989371E-4</v>
      </c>
      <c r="J184" s="211">
        <f t="shared" si="5"/>
        <v>0.99073208887970654</v>
      </c>
      <c r="K184" s="212" t="s">
        <v>662</v>
      </c>
    </row>
    <row r="185" spans="1:11" s="151" customFormat="1" ht="30" x14ac:dyDescent="0.25">
      <c r="A185" s="205" t="s">
        <v>1056</v>
      </c>
      <c r="B185" s="206">
        <v>93655</v>
      </c>
      <c r="C185" s="206" t="s">
        <v>17</v>
      </c>
      <c r="D185" s="207" t="s">
        <v>899</v>
      </c>
      <c r="E185" s="206" t="s">
        <v>144</v>
      </c>
      <c r="F185" s="208">
        <v>15</v>
      </c>
      <c r="G185" s="209">
        <v>23.648956999999996</v>
      </c>
      <c r="H185" s="209">
        <v>354.73435499999994</v>
      </c>
      <c r="I185" s="210">
        <f t="shared" si="4"/>
        <v>2.9798408853606135E-4</v>
      </c>
      <c r="J185" s="211">
        <f t="shared" si="5"/>
        <v>0.99103007296824264</v>
      </c>
      <c r="K185" s="212" t="s">
        <v>662</v>
      </c>
    </row>
    <row r="186" spans="1:11" s="151" customFormat="1" x14ac:dyDescent="0.25">
      <c r="A186" s="205" t="s">
        <v>505</v>
      </c>
      <c r="B186" s="206">
        <v>3252</v>
      </c>
      <c r="C186" s="206" t="s">
        <v>140</v>
      </c>
      <c r="D186" s="207" t="s">
        <v>435</v>
      </c>
      <c r="E186" s="206" t="s">
        <v>144</v>
      </c>
      <c r="F186" s="208">
        <v>300</v>
      </c>
      <c r="G186" s="209">
        <v>1.1267240000000001</v>
      </c>
      <c r="H186" s="209">
        <v>338.0172</v>
      </c>
      <c r="I186" s="210">
        <f t="shared" si="4"/>
        <v>2.8394133760038998E-4</v>
      </c>
      <c r="J186" s="211">
        <f t="shared" si="5"/>
        <v>0.99131401430584298</v>
      </c>
      <c r="K186" s="212" t="s">
        <v>662</v>
      </c>
    </row>
    <row r="187" spans="1:11" s="151" customFormat="1" x14ac:dyDescent="0.25">
      <c r="A187" s="205" t="s">
        <v>1045</v>
      </c>
      <c r="B187" s="206">
        <v>3252</v>
      </c>
      <c r="C187" s="206" t="s">
        <v>140</v>
      </c>
      <c r="D187" s="207" t="s">
        <v>435</v>
      </c>
      <c r="E187" s="206" t="s">
        <v>144</v>
      </c>
      <c r="F187" s="208">
        <v>300</v>
      </c>
      <c r="G187" s="209">
        <v>1.1267240000000001</v>
      </c>
      <c r="H187" s="209">
        <v>338.0172</v>
      </c>
      <c r="I187" s="210">
        <f t="shared" si="4"/>
        <v>2.8394133760038998E-4</v>
      </c>
      <c r="J187" s="211">
        <f t="shared" si="5"/>
        <v>0.99159795564344333</v>
      </c>
      <c r="K187" s="212" t="s">
        <v>662</v>
      </c>
    </row>
    <row r="188" spans="1:11" s="151" customFormat="1" ht="30" x14ac:dyDescent="0.25">
      <c r="A188" s="205" t="s">
        <v>46</v>
      </c>
      <c r="B188" s="206" t="s">
        <v>7</v>
      </c>
      <c r="C188" s="206" t="s">
        <v>875</v>
      </c>
      <c r="D188" s="207" t="s">
        <v>874</v>
      </c>
      <c r="E188" s="206" t="s">
        <v>474</v>
      </c>
      <c r="F188" s="208">
        <v>1</v>
      </c>
      <c r="G188" s="209">
        <v>321.544985</v>
      </c>
      <c r="H188" s="209">
        <v>321.544985</v>
      </c>
      <c r="I188" s="210">
        <f t="shared" si="4"/>
        <v>2.7010434125718257E-4</v>
      </c>
      <c r="J188" s="211">
        <f t="shared" si="5"/>
        <v>0.99186805998470051</v>
      </c>
      <c r="K188" s="212" t="s">
        <v>662</v>
      </c>
    </row>
    <row r="189" spans="1:11" s="151" customFormat="1" x14ac:dyDescent="0.25">
      <c r="A189" s="205" t="s">
        <v>545</v>
      </c>
      <c r="B189" s="206">
        <v>90456</v>
      </c>
      <c r="C189" s="206" t="s">
        <v>17</v>
      </c>
      <c r="D189" s="207" t="s">
        <v>455</v>
      </c>
      <c r="E189" s="206" t="s">
        <v>144</v>
      </c>
      <c r="F189" s="208">
        <v>47</v>
      </c>
      <c r="G189" s="209">
        <v>6.6623679999999998</v>
      </c>
      <c r="H189" s="209">
        <v>313.13129600000002</v>
      </c>
      <c r="I189" s="210">
        <f t="shared" si="4"/>
        <v>2.6303667100604242E-4</v>
      </c>
      <c r="J189" s="211">
        <f t="shared" si="5"/>
        <v>0.99213109665570653</v>
      </c>
      <c r="K189" s="212" t="s">
        <v>662</v>
      </c>
    </row>
    <row r="190" spans="1:11" s="151" customFormat="1" x14ac:dyDescent="0.25">
      <c r="A190" s="205" t="s">
        <v>1075</v>
      </c>
      <c r="B190" s="206">
        <v>9816</v>
      </c>
      <c r="C190" s="206" t="s">
        <v>140</v>
      </c>
      <c r="D190" s="207" t="s">
        <v>449</v>
      </c>
      <c r="E190" s="206" t="s">
        <v>144</v>
      </c>
      <c r="F190" s="208">
        <v>552</v>
      </c>
      <c r="G190" s="209">
        <v>0.56336200000000003</v>
      </c>
      <c r="H190" s="209">
        <v>310.97582399999999</v>
      </c>
      <c r="I190" s="210">
        <f t="shared" si="4"/>
        <v>2.6122603059235876E-4</v>
      </c>
      <c r="J190" s="211">
        <f t="shared" si="5"/>
        <v>0.99239232268629884</v>
      </c>
      <c r="K190" s="212" t="s">
        <v>662</v>
      </c>
    </row>
    <row r="191" spans="1:11" s="151" customFormat="1" x14ac:dyDescent="0.25">
      <c r="A191" s="205" t="s">
        <v>543</v>
      </c>
      <c r="B191" s="206">
        <v>12494</v>
      </c>
      <c r="C191" s="206" t="s">
        <v>140</v>
      </c>
      <c r="D191" s="207" t="s">
        <v>450</v>
      </c>
      <c r="E191" s="206" t="s">
        <v>144</v>
      </c>
      <c r="F191" s="208">
        <v>58</v>
      </c>
      <c r="G191" s="209">
        <v>5.2662099999999992</v>
      </c>
      <c r="H191" s="209">
        <v>305.44017999999994</v>
      </c>
      <c r="I191" s="210">
        <f t="shared" si="4"/>
        <v>2.5657597680267118E-4</v>
      </c>
      <c r="J191" s="211">
        <f t="shared" si="5"/>
        <v>0.99264889866310146</v>
      </c>
      <c r="K191" s="212" t="s">
        <v>662</v>
      </c>
    </row>
    <row r="192" spans="1:11" s="151" customFormat="1" ht="30" x14ac:dyDescent="0.25">
      <c r="A192" s="205" t="s">
        <v>226</v>
      </c>
      <c r="B192" s="207" t="s">
        <v>987</v>
      </c>
      <c r="C192" s="206" t="s">
        <v>156</v>
      </c>
      <c r="D192" s="207" t="s">
        <v>757</v>
      </c>
      <c r="E192" s="206" t="s">
        <v>474</v>
      </c>
      <c r="F192" s="208">
        <v>2</v>
      </c>
      <c r="G192" s="209">
        <v>150.33192499999998</v>
      </c>
      <c r="H192" s="209">
        <v>300.66384999999997</v>
      </c>
      <c r="I192" s="210">
        <f t="shared" si="4"/>
        <v>2.5256376224962223E-4</v>
      </c>
      <c r="J192" s="211">
        <f t="shared" si="5"/>
        <v>0.99290146242535104</v>
      </c>
      <c r="K192" s="212" t="s">
        <v>662</v>
      </c>
    </row>
    <row r="193" spans="1:11" s="151" customFormat="1" x14ac:dyDescent="0.25">
      <c r="A193" s="205" t="s">
        <v>749</v>
      </c>
      <c r="B193" s="206">
        <v>11230</v>
      </c>
      <c r="C193" s="206" t="s">
        <v>140</v>
      </c>
      <c r="D193" s="207" t="s">
        <v>728</v>
      </c>
      <c r="E193" s="206" t="s">
        <v>144</v>
      </c>
      <c r="F193" s="208">
        <v>8</v>
      </c>
      <c r="G193" s="209">
        <v>34.438564</v>
      </c>
      <c r="H193" s="209">
        <v>275.508512</v>
      </c>
      <c r="I193" s="210">
        <f t="shared" si="4"/>
        <v>2.3143276560356422E-4</v>
      </c>
      <c r="J193" s="211">
        <f t="shared" si="5"/>
        <v>0.9931328951909546</v>
      </c>
      <c r="K193" s="212" t="s">
        <v>662</v>
      </c>
    </row>
    <row r="194" spans="1:11" s="151" customFormat="1" x14ac:dyDescent="0.25">
      <c r="A194" s="205" t="s">
        <v>165</v>
      </c>
      <c r="B194" s="206" t="s">
        <v>976</v>
      </c>
      <c r="C194" s="206" t="s">
        <v>106</v>
      </c>
      <c r="D194" s="328" t="s">
        <v>585</v>
      </c>
      <c r="E194" s="206" t="s">
        <v>144</v>
      </c>
      <c r="F194" s="208">
        <v>6</v>
      </c>
      <c r="G194" s="209">
        <v>44.050009600000003</v>
      </c>
      <c r="H194" s="209">
        <v>264.3000576</v>
      </c>
      <c r="I194" s="210">
        <f t="shared" si="4"/>
        <v>2.2201743545240926E-4</v>
      </c>
      <c r="J194" s="211">
        <f t="shared" si="5"/>
        <v>0.99335491262640696</v>
      </c>
      <c r="K194" s="212" t="s">
        <v>662</v>
      </c>
    </row>
    <row r="195" spans="1:11" s="151" customFormat="1" ht="30" x14ac:dyDescent="0.25">
      <c r="A195" s="205" t="s">
        <v>483</v>
      </c>
      <c r="B195" s="206" t="s">
        <v>378</v>
      </c>
      <c r="C195" s="206" t="s">
        <v>6</v>
      </c>
      <c r="D195" s="207" t="s">
        <v>377</v>
      </c>
      <c r="E195" s="206" t="s">
        <v>107</v>
      </c>
      <c r="F195" s="208">
        <v>5.9891999999999994</v>
      </c>
      <c r="G195" s="209">
        <v>43.329886000000002</v>
      </c>
      <c r="H195" s="209">
        <v>259.51135323119996</v>
      </c>
      <c r="I195" s="210">
        <f t="shared" si="4"/>
        <v>2.1799482617734895E-4</v>
      </c>
      <c r="J195" s="211">
        <f t="shared" si="5"/>
        <v>0.99357290745258431</v>
      </c>
      <c r="K195" s="212" t="s">
        <v>662</v>
      </c>
    </row>
    <row r="196" spans="1:11" s="151" customFormat="1" ht="30" x14ac:dyDescent="0.25">
      <c r="A196" s="205" t="s">
        <v>1079</v>
      </c>
      <c r="B196" s="206">
        <v>724</v>
      </c>
      <c r="C196" s="206" t="s">
        <v>140</v>
      </c>
      <c r="D196" s="207" t="s">
        <v>447</v>
      </c>
      <c r="E196" s="206" t="s">
        <v>144</v>
      </c>
      <c r="F196" s="208">
        <v>22</v>
      </c>
      <c r="G196" s="209">
        <v>11.695885000000001</v>
      </c>
      <c r="H196" s="209">
        <v>257.30947000000003</v>
      </c>
      <c r="I196" s="210">
        <f t="shared" si="4"/>
        <v>2.1614519938348528E-4</v>
      </c>
      <c r="J196" s="211">
        <f t="shared" si="5"/>
        <v>0.99378905265196782</v>
      </c>
      <c r="K196" s="212" t="s">
        <v>662</v>
      </c>
    </row>
    <row r="197" spans="1:11" s="151" customFormat="1" ht="30" x14ac:dyDescent="0.25">
      <c r="A197" s="205" t="s">
        <v>68</v>
      </c>
      <c r="B197" s="206" t="s">
        <v>842</v>
      </c>
      <c r="C197" s="206" t="s">
        <v>106</v>
      </c>
      <c r="D197" s="328" t="s">
        <v>604</v>
      </c>
      <c r="E197" s="206" t="s">
        <v>143</v>
      </c>
      <c r="F197" s="208">
        <v>2</v>
      </c>
      <c r="G197" s="209">
        <v>123.14364745969999</v>
      </c>
      <c r="H197" s="209">
        <v>246.28729491939998</v>
      </c>
      <c r="I197" s="210">
        <f t="shared" si="4"/>
        <v>2.0688634765744511E-4</v>
      </c>
      <c r="J197" s="211">
        <f t="shared" si="5"/>
        <v>0.99399593899962524</v>
      </c>
      <c r="K197" s="212" t="s">
        <v>662</v>
      </c>
    </row>
    <row r="198" spans="1:11" s="151" customFormat="1" ht="30" x14ac:dyDescent="0.25">
      <c r="A198" s="205" t="s">
        <v>1083</v>
      </c>
      <c r="B198" s="206">
        <v>685</v>
      </c>
      <c r="C198" s="206" t="s">
        <v>140</v>
      </c>
      <c r="D198" s="207" t="s">
        <v>915</v>
      </c>
      <c r="E198" s="206" t="s">
        <v>144</v>
      </c>
      <c r="F198" s="208">
        <v>40</v>
      </c>
      <c r="G198" s="209">
        <v>6.1357469999999994</v>
      </c>
      <c r="H198" s="209">
        <v>245.42987999999997</v>
      </c>
      <c r="I198" s="210">
        <f t="shared" ref="I198:I261" si="6">H198/$H$265</f>
        <v>2.0616610164897876E-4</v>
      </c>
      <c r="J198" s="211">
        <f t="shared" si="5"/>
        <v>0.99420210510127427</v>
      </c>
      <c r="K198" s="212" t="s">
        <v>662</v>
      </c>
    </row>
    <row r="199" spans="1:11" s="151" customFormat="1" ht="30" x14ac:dyDescent="0.25">
      <c r="A199" s="205" t="s">
        <v>541</v>
      </c>
      <c r="B199" s="206">
        <v>723</v>
      </c>
      <c r="C199" s="206" t="s">
        <v>140</v>
      </c>
      <c r="D199" s="207" t="s">
        <v>448</v>
      </c>
      <c r="E199" s="206" t="s">
        <v>144</v>
      </c>
      <c r="F199" s="208">
        <v>29</v>
      </c>
      <c r="G199" s="209">
        <v>8.450429999999999</v>
      </c>
      <c r="H199" s="209">
        <v>245.06246999999996</v>
      </c>
      <c r="I199" s="210">
        <f t="shared" si="6"/>
        <v>2.0585746976028269E-4</v>
      </c>
      <c r="J199" s="211">
        <f t="shared" si="5"/>
        <v>0.99440796257103459</v>
      </c>
      <c r="K199" s="212" t="s">
        <v>662</v>
      </c>
    </row>
    <row r="200" spans="1:11" s="151" customFormat="1" ht="30" x14ac:dyDescent="0.25">
      <c r="A200" s="205" t="s">
        <v>705</v>
      </c>
      <c r="B200" s="206" t="s">
        <v>676</v>
      </c>
      <c r="C200" s="206" t="s">
        <v>6</v>
      </c>
      <c r="D200" s="207" t="s">
        <v>675</v>
      </c>
      <c r="E200" s="206" t="s">
        <v>144</v>
      </c>
      <c r="F200" s="208">
        <v>4</v>
      </c>
      <c r="G200" s="209">
        <v>61.014553999999997</v>
      </c>
      <c r="H200" s="209">
        <v>244.05821599999999</v>
      </c>
      <c r="I200" s="210">
        <f t="shared" si="6"/>
        <v>2.0501387593118011E-4</v>
      </c>
      <c r="J200" s="211">
        <f t="shared" ref="J200:J263" si="7">J199+I200</f>
        <v>0.99461297644696578</v>
      </c>
      <c r="K200" s="212" t="s">
        <v>662</v>
      </c>
    </row>
    <row r="201" spans="1:11" s="151" customFormat="1" x14ac:dyDescent="0.25">
      <c r="A201" s="205" t="s">
        <v>1037</v>
      </c>
      <c r="B201" s="206">
        <v>9832</v>
      </c>
      <c r="C201" s="206" t="s">
        <v>140</v>
      </c>
      <c r="D201" s="207" t="s">
        <v>451</v>
      </c>
      <c r="E201" s="206" t="s">
        <v>144</v>
      </c>
      <c r="F201" s="208">
        <v>156</v>
      </c>
      <c r="G201" s="209">
        <v>1.4696399999999998</v>
      </c>
      <c r="H201" s="209">
        <v>229.26383999999999</v>
      </c>
      <c r="I201" s="210">
        <f t="shared" si="6"/>
        <v>1.9258629854635145E-4</v>
      </c>
      <c r="J201" s="211">
        <f t="shared" si="7"/>
        <v>0.99480556274551213</v>
      </c>
      <c r="K201" s="212" t="s">
        <v>662</v>
      </c>
    </row>
    <row r="202" spans="1:11" s="151" customFormat="1" ht="30" x14ac:dyDescent="0.25">
      <c r="A202" s="205" t="s">
        <v>494</v>
      </c>
      <c r="B202" s="206">
        <v>93662</v>
      </c>
      <c r="C202" s="206" t="s">
        <v>17</v>
      </c>
      <c r="D202" s="207" t="s">
        <v>302</v>
      </c>
      <c r="E202" s="206" t="s">
        <v>144</v>
      </c>
      <c r="F202" s="208">
        <v>2</v>
      </c>
      <c r="G202" s="209">
        <v>111.71713399999999</v>
      </c>
      <c r="H202" s="209">
        <v>223.43426799999997</v>
      </c>
      <c r="I202" s="210">
        <f t="shared" si="6"/>
        <v>1.8768933924570702E-4</v>
      </c>
      <c r="J202" s="211">
        <f t="shared" si="7"/>
        <v>0.99499325208475786</v>
      </c>
      <c r="K202" s="212" t="s">
        <v>662</v>
      </c>
    </row>
    <row r="203" spans="1:11" s="151" customFormat="1" ht="30" x14ac:dyDescent="0.25">
      <c r="A203" s="205" t="s">
        <v>53</v>
      </c>
      <c r="B203" s="206" t="s">
        <v>16</v>
      </c>
      <c r="C203" s="206" t="s">
        <v>6</v>
      </c>
      <c r="D203" s="207" t="s">
        <v>379</v>
      </c>
      <c r="E203" s="206" t="s">
        <v>107</v>
      </c>
      <c r="F203" s="208">
        <v>3.3150999999999997</v>
      </c>
      <c r="G203" s="209">
        <v>67.187041999999991</v>
      </c>
      <c r="H203" s="209">
        <v>222.73176293419996</v>
      </c>
      <c r="I203" s="210">
        <f t="shared" si="6"/>
        <v>1.8709922067169864E-4</v>
      </c>
      <c r="J203" s="211">
        <f t="shared" si="7"/>
        <v>0.99518035130542959</v>
      </c>
      <c r="K203" s="212" t="s">
        <v>662</v>
      </c>
    </row>
    <row r="204" spans="1:11" s="151" customFormat="1" ht="30" x14ac:dyDescent="0.25">
      <c r="A204" s="205" t="s">
        <v>1046</v>
      </c>
      <c r="B204" s="206">
        <v>91967</v>
      </c>
      <c r="C204" s="206" t="s">
        <v>17</v>
      </c>
      <c r="D204" s="207" t="s">
        <v>452</v>
      </c>
      <c r="E204" s="206" t="s">
        <v>144</v>
      </c>
      <c r="F204" s="208">
        <v>3</v>
      </c>
      <c r="G204" s="209">
        <v>73.151330999999985</v>
      </c>
      <c r="H204" s="209">
        <v>219.45399299999997</v>
      </c>
      <c r="I204" s="210">
        <f t="shared" si="6"/>
        <v>1.8434582711816621E-4</v>
      </c>
      <c r="J204" s="211">
        <f t="shared" si="7"/>
        <v>0.99536469713254772</v>
      </c>
      <c r="K204" s="212" t="s">
        <v>662</v>
      </c>
    </row>
    <row r="205" spans="1:11" s="151" customFormat="1" ht="30" x14ac:dyDescent="0.25">
      <c r="A205" s="205" t="s">
        <v>1028</v>
      </c>
      <c r="B205" s="206">
        <v>93655</v>
      </c>
      <c r="C205" s="206" t="s">
        <v>17</v>
      </c>
      <c r="D205" s="207" t="s">
        <v>899</v>
      </c>
      <c r="E205" s="206" t="s">
        <v>144</v>
      </c>
      <c r="F205" s="208">
        <v>9</v>
      </c>
      <c r="G205" s="209">
        <v>23.648956999999996</v>
      </c>
      <c r="H205" s="209">
        <v>212.84061299999996</v>
      </c>
      <c r="I205" s="210">
        <f t="shared" si="6"/>
        <v>1.7879045312163682E-4</v>
      </c>
      <c r="J205" s="211">
        <f t="shared" si="7"/>
        <v>0.99554348758566935</v>
      </c>
      <c r="K205" s="212" t="s">
        <v>662</v>
      </c>
    </row>
    <row r="206" spans="1:11" s="151" customFormat="1" ht="30" collapsed="1" x14ac:dyDescent="0.25">
      <c r="A206" s="205" t="s">
        <v>93</v>
      </c>
      <c r="B206" s="214" t="s">
        <v>755</v>
      </c>
      <c r="C206" s="206" t="s">
        <v>17</v>
      </c>
      <c r="D206" s="207" t="s">
        <v>756</v>
      </c>
      <c r="E206" s="206" t="s">
        <v>474</v>
      </c>
      <c r="F206" s="208">
        <v>1</v>
      </c>
      <c r="G206" s="209">
        <v>204.84332199999997</v>
      </c>
      <c r="H206" s="209">
        <v>204.84332199999997</v>
      </c>
      <c r="I206" s="210">
        <f t="shared" si="6"/>
        <v>1.7207256567768558E-4</v>
      </c>
      <c r="J206" s="211">
        <f t="shared" si="7"/>
        <v>0.99571556015134699</v>
      </c>
      <c r="K206" s="212" t="s">
        <v>662</v>
      </c>
    </row>
    <row r="207" spans="1:11" s="151" customFormat="1" ht="30" collapsed="1" x14ac:dyDescent="0.25">
      <c r="A207" s="205" t="s">
        <v>533</v>
      </c>
      <c r="B207" s="206">
        <v>91943</v>
      </c>
      <c r="C207" s="206" t="s">
        <v>17</v>
      </c>
      <c r="D207" s="207" t="s">
        <v>934</v>
      </c>
      <c r="E207" s="206" t="s">
        <v>144</v>
      </c>
      <c r="F207" s="208">
        <v>7</v>
      </c>
      <c r="G207" s="209">
        <v>26.135097999999999</v>
      </c>
      <c r="H207" s="209">
        <v>182.94568599999999</v>
      </c>
      <c r="I207" s="210">
        <f t="shared" si="6"/>
        <v>1.5367810511139946E-4</v>
      </c>
      <c r="J207" s="211">
        <f t="shared" si="7"/>
        <v>0.99586923825645834</v>
      </c>
      <c r="K207" s="212" t="s">
        <v>662</v>
      </c>
    </row>
    <row r="208" spans="1:11" s="151" customFormat="1" ht="30" collapsed="1" x14ac:dyDescent="0.25">
      <c r="A208" s="205" t="s">
        <v>1068</v>
      </c>
      <c r="B208" s="206" t="s">
        <v>898</v>
      </c>
      <c r="C208" s="206" t="s">
        <v>6</v>
      </c>
      <c r="D208" s="207" t="s">
        <v>897</v>
      </c>
      <c r="E208" s="206" t="s">
        <v>144</v>
      </c>
      <c r="F208" s="208">
        <v>2</v>
      </c>
      <c r="G208" s="209">
        <v>91.301384999999982</v>
      </c>
      <c r="H208" s="209">
        <v>182.60276999999996</v>
      </c>
      <c r="I208" s="210">
        <f t="shared" si="6"/>
        <v>1.5339004868194977E-4</v>
      </c>
      <c r="J208" s="211">
        <f t="shared" si="7"/>
        <v>0.99602262830514032</v>
      </c>
      <c r="K208" s="212" t="s">
        <v>662</v>
      </c>
    </row>
    <row r="209" spans="1:30" s="151" customFormat="1" collapsed="1" x14ac:dyDescent="0.25">
      <c r="A209" s="205" t="s">
        <v>696</v>
      </c>
      <c r="B209" s="213" t="s">
        <v>588</v>
      </c>
      <c r="C209" s="206" t="s">
        <v>156</v>
      </c>
      <c r="D209" s="207" t="s">
        <v>459</v>
      </c>
      <c r="E209" s="206" t="s">
        <v>144</v>
      </c>
      <c r="F209" s="208">
        <v>10</v>
      </c>
      <c r="G209" s="209">
        <v>18.088818999999997</v>
      </c>
      <c r="H209" s="209">
        <v>180.88818999999998</v>
      </c>
      <c r="I209" s="210">
        <f t="shared" si="6"/>
        <v>1.5194976653470143E-4</v>
      </c>
      <c r="J209" s="211">
        <f t="shared" si="7"/>
        <v>0.99617457807167498</v>
      </c>
      <c r="K209" s="212" t="s">
        <v>662</v>
      </c>
    </row>
    <row r="210" spans="1:30" s="151" customFormat="1" collapsed="1" x14ac:dyDescent="0.25">
      <c r="A210" s="205" t="s">
        <v>1043</v>
      </c>
      <c r="B210" s="213" t="s">
        <v>588</v>
      </c>
      <c r="C210" s="206" t="s">
        <v>156</v>
      </c>
      <c r="D210" s="207" t="s">
        <v>459</v>
      </c>
      <c r="E210" s="206" t="s">
        <v>144</v>
      </c>
      <c r="F210" s="208">
        <v>10</v>
      </c>
      <c r="G210" s="209">
        <v>18.088818999999997</v>
      </c>
      <c r="H210" s="209">
        <v>180.88818999999998</v>
      </c>
      <c r="I210" s="210">
        <f t="shared" si="6"/>
        <v>1.5194976653470143E-4</v>
      </c>
      <c r="J210" s="211">
        <f t="shared" si="7"/>
        <v>0.99632652783820963</v>
      </c>
      <c r="K210" s="212" t="s">
        <v>662</v>
      </c>
    </row>
    <row r="211" spans="1:30" s="151" customFormat="1" ht="30" collapsed="1" x14ac:dyDescent="0.25">
      <c r="A211" s="205" t="s">
        <v>525</v>
      </c>
      <c r="B211" s="206">
        <v>91953</v>
      </c>
      <c r="C211" s="206" t="s">
        <v>17</v>
      </c>
      <c r="D211" s="207" t="s">
        <v>303</v>
      </c>
      <c r="E211" s="206" t="s">
        <v>144</v>
      </c>
      <c r="F211" s="208">
        <v>5</v>
      </c>
      <c r="G211" s="209">
        <v>35.785733999999998</v>
      </c>
      <c r="H211" s="209">
        <v>178.92866999999998</v>
      </c>
      <c r="I211" s="210">
        <f t="shared" si="6"/>
        <v>1.5030372979498902E-4</v>
      </c>
      <c r="J211" s="211">
        <f t="shared" si="7"/>
        <v>0.9964768315680046</v>
      </c>
      <c r="K211" s="212" t="s">
        <v>662</v>
      </c>
    </row>
    <row r="212" spans="1:30" s="151" customFormat="1" ht="30" x14ac:dyDescent="0.25">
      <c r="A212" s="205" t="s">
        <v>1031</v>
      </c>
      <c r="B212" s="206">
        <v>685</v>
      </c>
      <c r="C212" s="206" t="s">
        <v>140</v>
      </c>
      <c r="D212" s="207" t="s">
        <v>915</v>
      </c>
      <c r="E212" s="206" t="s">
        <v>144</v>
      </c>
      <c r="F212" s="208">
        <v>28</v>
      </c>
      <c r="G212" s="209">
        <v>6.1357469999999994</v>
      </c>
      <c r="H212" s="209">
        <v>171.80091599999997</v>
      </c>
      <c r="I212" s="210">
        <f t="shared" si="6"/>
        <v>1.4431627115428513E-4</v>
      </c>
      <c r="J212" s="211">
        <f t="shared" si="7"/>
        <v>0.99662114783915889</v>
      </c>
      <c r="K212" s="212" t="s">
        <v>662</v>
      </c>
    </row>
    <row r="213" spans="1:30" s="151" customFormat="1" x14ac:dyDescent="0.25">
      <c r="A213" s="205" t="s">
        <v>1081</v>
      </c>
      <c r="B213" s="206">
        <v>9816</v>
      </c>
      <c r="C213" s="206" t="s">
        <v>140</v>
      </c>
      <c r="D213" s="207" t="s">
        <v>449</v>
      </c>
      <c r="E213" s="206" t="s">
        <v>144</v>
      </c>
      <c r="F213" s="208">
        <v>304</v>
      </c>
      <c r="G213" s="209">
        <v>0.56336200000000003</v>
      </c>
      <c r="H213" s="209">
        <v>171.26204800000002</v>
      </c>
      <c r="I213" s="210">
        <f t="shared" si="6"/>
        <v>1.4386361105086427E-4</v>
      </c>
      <c r="J213" s="211">
        <f t="shared" si="7"/>
        <v>0.99676501145020979</v>
      </c>
      <c r="K213" s="212" t="s">
        <v>662</v>
      </c>
    </row>
    <row r="214" spans="1:30" s="151" customFormat="1" ht="33" customHeight="1" x14ac:dyDescent="0.25">
      <c r="A214" s="205" t="s">
        <v>700</v>
      </c>
      <c r="B214" s="206">
        <v>91959</v>
      </c>
      <c r="C214" s="206" t="s">
        <v>17</v>
      </c>
      <c r="D214" s="207" t="s">
        <v>936</v>
      </c>
      <c r="E214" s="206" t="s">
        <v>144</v>
      </c>
      <c r="F214" s="208">
        <v>3</v>
      </c>
      <c r="G214" s="209">
        <v>54.462408999999994</v>
      </c>
      <c r="H214" s="209">
        <v>163.387227</v>
      </c>
      <c r="I214" s="210">
        <f t="shared" si="6"/>
        <v>1.37248600903145E-4</v>
      </c>
      <c r="J214" s="211">
        <f t="shared" si="7"/>
        <v>0.99690226005111293</v>
      </c>
      <c r="K214" s="212" t="s">
        <v>662</v>
      </c>
    </row>
    <row r="215" spans="1:30" s="151" customFormat="1" ht="33" customHeight="1" x14ac:dyDescent="0.25">
      <c r="A215" s="205" t="s">
        <v>51</v>
      </c>
      <c r="B215" s="206" t="s">
        <v>369</v>
      </c>
      <c r="C215" s="206" t="s">
        <v>6</v>
      </c>
      <c r="D215" s="207" t="s">
        <v>368</v>
      </c>
      <c r="E215" s="208" t="s">
        <v>107</v>
      </c>
      <c r="F215" s="208">
        <v>9.4500000000000011</v>
      </c>
      <c r="G215" s="209">
        <v>16.692661000000001</v>
      </c>
      <c r="H215" s="209">
        <v>157.74564645000004</v>
      </c>
      <c r="I215" s="210">
        <f t="shared" si="6"/>
        <v>1.3250955825221681E-4</v>
      </c>
      <c r="J215" s="211">
        <f t="shared" si="7"/>
        <v>0.9970347696093651</v>
      </c>
      <c r="K215" s="212" t="s">
        <v>662</v>
      </c>
    </row>
    <row r="216" spans="1:30" s="151" customFormat="1" ht="33" customHeight="1" x14ac:dyDescent="0.25">
      <c r="A216" s="205" t="s">
        <v>503</v>
      </c>
      <c r="B216" s="206">
        <v>4015</v>
      </c>
      <c r="C216" s="206" t="s">
        <v>140</v>
      </c>
      <c r="D216" s="207" t="s">
        <v>431</v>
      </c>
      <c r="E216" s="206" t="s">
        <v>144</v>
      </c>
      <c r="F216" s="208">
        <v>10</v>
      </c>
      <c r="G216" s="209">
        <v>15.431219999999998</v>
      </c>
      <c r="H216" s="209">
        <v>154.31219999999999</v>
      </c>
      <c r="I216" s="210">
        <f t="shared" si="6"/>
        <v>1.2962539325235193E-4</v>
      </c>
      <c r="J216" s="211">
        <f t="shared" si="7"/>
        <v>0.99716439500261744</v>
      </c>
      <c r="K216" s="212" t="s">
        <v>662</v>
      </c>
    </row>
    <row r="217" spans="1:30" s="151" customFormat="1" x14ac:dyDescent="0.25">
      <c r="A217" s="205" t="s">
        <v>697</v>
      </c>
      <c r="B217" s="206">
        <v>9816</v>
      </c>
      <c r="C217" s="206" t="s">
        <v>140</v>
      </c>
      <c r="D217" s="207" t="s">
        <v>449</v>
      </c>
      <c r="E217" s="206" t="s">
        <v>144</v>
      </c>
      <c r="F217" s="208">
        <v>272</v>
      </c>
      <c r="G217" s="209">
        <v>0.56336200000000003</v>
      </c>
      <c r="H217" s="209">
        <v>153.234464</v>
      </c>
      <c r="I217" s="210">
        <f t="shared" si="6"/>
        <v>1.2872007304551013E-4</v>
      </c>
      <c r="J217" s="211">
        <f t="shared" si="7"/>
        <v>0.99729311507566298</v>
      </c>
      <c r="K217" s="212" t="s">
        <v>662</v>
      </c>
    </row>
    <row r="218" spans="1:30" s="151" customFormat="1" x14ac:dyDescent="0.25">
      <c r="A218" s="205" t="s">
        <v>1032</v>
      </c>
      <c r="B218" s="206">
        <v>12614</v>
      </c>
      <c r="C218" s="206" t="s">
        <v>140</v>
      </c>
      <c r="D218" s="207" t="s">
        <v>916</v>
      </c>
      <c r="E218" s="206" t="s">
        <v>144</v>
      </c>
      <c r="F218" s="208">
        <v>28</v>
      </c>
      <c r="G218" s="209">
        <v>5.4499149999999998</v>
      </c>
      <c r="H218" s="209">
        <v>152.59762000000001</v>
      </c>
      <c r="I218" s="210">
        <f t="shared" si="6"/>
        <v>1.2818511110510359E-4</v>
      </c>
      <c r="J218" s="211">
        <f t="shared" si="7"/>
        <v>0.99742130018676811</v>
      </c>
      <c r="K218" s="212" t="s">
        <v>662</v>
      </c>
    </row>
    <row r="219" spans="1:30" s="151" customFormat="1" ht="30" x14ac:dyDescent="0.25">
      <c r="A219" s="205" t="s">
        <v>94</v>
      </c>
      <c r="B219" s="206" t="s">
        <v>22</v>
      </c>
      <c r="C219" s="206" t="s">
        <v>6</v>
      </c>
      <c r="D219" s="207" t="s">
        <v>25</v>
      </c>
      <c r="E219" s="206" t="s">
        <v>107</v>
      </c>
      <c r="F219" s="208">
        <v>3.3150999999999997</v>
      </c>
      <c r="G219" s="209">
        <v>37.243126999999994</v>
      </c>
      <c r="H219" s="209">
        <v>123.46469031769998</v>
      </c>
      <c r="I219" s="210">
        <f t="shared" si="6"/>
        <v>1.0371285637306518E-4</v>
      </c>
      <c r="J219" s="211">
        <f t="shared" si="7"/>
        <v>0.99752501304314123</v>
      </c>
      <c r="K219" s="212" t="s">
        <v>662</v>
      </c>
    </row>
    <row r="220" spans="1:30" s="151" customFormat="1" ht="30" collapsed="1" x14ac:dyDescent="0.25">
      <c r="A220" s="205" t="s">
        <v>224</v>
      </c>
      <c r="B220" s="206" t="s">
        <v>7</v>
      </c>
      <c r="C220" s="206" t="s">
        <v>875</v>
      </c>
      <c r="D220" s="207" t="s">
        <v>876</v>
      </c>
      <c r="E220" s="206" t="s">
        <v>474</v>
      </c>
      <c r="F220" s="208">
        <v>1</v>
      </c>
      <c r="G220" s="209">
        <v>122.02910799999999</v>
      </c>
      <c r="H220" s="209">
        <v>122.02910799999999</v>
      </c>
      <c r="I220" s="210">
        <f t="shared" si="6"/>
        <v>1.0250693796559006E-4</v>
      </c>
      <c r="J220" s="211">
        <f t="shared" si="7"/>
        <v>0.99762751998110677</v>
      </c>
      <c r="K220" s="212" t="s">
        <v>662</v>
      </c>
    </row>
    <row r="221" spans="1:30" s="151" customFormat="1" ht="30" x14ac:dyDescent="0.25">
      <c r="A221" s="205" t="s">
        <v>479</v>
      </c>
      <c r="B221" s="206" t="s">
        <v>7</v>
      </c>
      <c r="C221" s="206" t="s">
        <v>875</v>
      </c>
      <c r="D221" s="207" t="s">
        <v>877</v>
      </c>
      <c r="E221" s="206" t="s">
        <v>474</v>
      </c>
      <c r="F221" s="208">
        <v>1</v>
      </c>
      <c r="G221" s="209">
        <v>122.02910799999999</v>
      </c>
      <c r="H221" s="209">
        <v>122.02910799999999</v>
      </c>
      <c r="I221" s="210">
        <f t="shared" si="6"/>
        <v>1.0250693796559006E-4</v>
      </c>
      <c r="J221" s="211">
        <f t="shared" si="7"/>
        <v>0.99773002691907231</v>
      </c>
      <c r="K221" s="212" t="s">
        <v>662</v>
      </c>
    </row>
    <row r="222" spans="1:30" s="151" customFormat="1" ht="30" x14ac:dyDescent="0.25">
      <c r="A222" s="205" t="s">
        <v>292</v>
      </c>
      <c r="B222" s="206" t="s">
        <v>7</v>
      </c>
      <c r="C222" s="206" t="s">
        <v>875</v>
      </c>
      <c r="D222" s="207" t="s">
        <v>878</v>
      </c>
      <c r="E222" s="206" t="s">
        <v>474</v>
      </c>
      <c r="F222" s="208">
        <v>1</v>
      </c>
      <c r="G222" s="209">
        <v>122.02910799999999</v>
      </c>
      <c r="H222" s="209">
        <v>122.02910799999999</v>
      </c>
      <c r="I222" s="210">
        <f t="shared" si="6"/>
        <v>1.0250693796559006E-4</v>
      </c>
      <c r="J222" s="211">
        <f t="shared" si="7"/>
        <v>0.99783253385703785</v>
      </c>
      <c r="K222" s="212" t="s">
        <v>662</v>
      </c>
    </row>
    <row r="223" spans="1:30" s="152" customFormat="1" ht="30" x14ac:dyDescent="0.25">
      <c r="A223" s="205" t="s">
        <v>284</v>
      </c>
      <c r="B223" s="207">
        <v>102218</v>
      </c>
      <c r="C223" s="206" t="s">
        <v>17</v>
      </c>
      <c r="D223" s="207" t="s">
        <v>782</v>
      </c>
      <c r="E223" s="206" t="s">
        <v>474</v>
      </c>
      <c r="F223" s="208">
        <v>5.67</v>
      </c>
      <c r="G223" s="209">
        <v>21.444497000000002</v>
      </c>
      <c r="H223" s="209">
        <v>121.59029799000001</v>
      </c>
      <c r="I223" s="210">
        <f t="shared" si="6"/>
        <v>1.0213832861319071E-4</v>
      </c>
      <c r="J223" s="211">
        <f t="shared" si="7"/>
        <v>0.99793467218565102</v>
      </c>
      <c r="K223" s="212" t="s">
        <v>662</v>
      </c>
      <c r="L223" s="151"/>
      <c r="M223" s="151"/>
      <c r="N223" s="151"/>
      <c r="O223" s="151"/>
      <c r="P223" s="151"/>
      <c r="Q223" s="151"/>
      <c r="R223" s="151"/>
      <c r="S223" s="151"/>
      <c r="T223" s="151"/>
      <c r="U223" s="151"/>
      <c r="V223" s="151"/>
      <c r="W223" s="151"/>
      <c r="X223" s="151"/>
      <c r="Y223" s="151"/>
      <c r="Z223" s="151"/>
      <c r="AA223" s="151"/>
      <c r="AB223" s="151"/>
      <c r="AC223" s="151"/>
      <c r="AD223" s="151"/>
    </row>
    <row r="224" spans="1:30" s="151" customFormat="1" ht="30" x14ac:dyDescent="0.25">
      <c r="A224" s="205" t="s">
        <v>1029</v>
      </c>
      <c r="B224" s="206">
        <v>93665</v>
      </c>
      <c r="C224" s="206" t="s">
        <v>17</v>
      </c>
      <c r="D224" s="207" t="s">
        <v>718</v>
      </c>
      <c r="E224" s="206" t="s">
        <v>144</v>
      </c>
      <c r="F224" s="208">
        <v>1</v>
      </c>
      <c r="G224" s="209">
        <v>120.17981099999999</v>
      </c>
      <c r="H224" s="209">
        <v>120.17981099999999</v>
      </c>
      <c r="I224" s="210">
        <f t="shared" si="6"/>
        <v>1.0095349079248647E-4</v>
      </c>
      <c r="J224" s="211">
        <f t="shared" si="7"/>
        <v>0.99803562567644355</v>
      </c>
      <c r="K224" s="212" t="s">
        <v>662</v>
      </c>
    </row>
    <row r="225" spans="1:11" s="151" customFormat="1" ht="30" x14ac:dyDescent="0.25">
      <c r="A225" s="205" t="s">
        <v>522</v>
      </c>
      <c r="B225" s="206">
        <v>723</v>
      </c>
      <c r="C225" s="206" t="s">
        <v>140</v>
      </c>
      <c r="D225" s="207" t="s">
        <v>448</v>
      </c>
      <c r="E225" s="206" t="s">
        <v>144</v>
      </c>
      <c r="F225" s="208">
        <v>14</v>
      </c>
      <c r="G225" s="209">
        <v>8.450429999999999</v>
      </c>
      <c r="H225" s="209">
        <v>118.30601999999999</v>
      </c>
      <c r="I225" s="210">
        <f t="shared" si="6"/>
        <v>9.9379468160136483E-5</v>
      </c>
      <c r="J225" s="211">
        <f t="shared" si="7"/>
        <v>0.99813500514460374</v>
      </c>
      <c r="K225" s="212" t="s">
        <v>662</v>
      </c>
    </row>
    <row r="226" spans="1:11" s="151" customFormat="1" x14ac:dyDescent="0.25">
      <c r="A226" s="205" t="s">
        <v>747</v>
      </c>
      <c r="B226" s="206" t="s">
        <v>734</v>
      </c>
      <c r="C226" s="206" t="s">
        <v>6</v>
      </c>
      <c r="D226" s="207" t="s">
        <v>733</v>
      </c>
      <c r="E226" s="206" t="s">
        <v>144</v>
      </c>
      <c r="F226" s="208">
        <v>1</v>
      </c>
      <c r="G226" s="209">
        <v>108.434938</v>
      </c>
      <c r="H226" s="209">
        <v>108.434938</v>
      </c>
      <c r="I226" s="210">
        <f t="shared" si="6"/>
        <v>9.1087558083835239E-5</v>
      </c>
      <c r="J226" s="211">
        <f t="shared" si="7"/>
        <v>0.99822609270268758</v>
      </c>
      <c r="K226" s="212" t="s">
        <v>662</v>
      </c>
    </row>
    <row r="227" spans="1:11" s="151" customFormat="1" ht="30" x14ac:dyDescent="0.25">
      <c r="A227" s="205" t="s">
        <v>710</v>
      </c>
      <c r="B227" s="206" t="s">
        <v>923</v>
      </c>
      <c r="C227" s="206" t="s">
        <v>907</v>
      </c>
      <c r="D227" s="207" t="s">
        <v>922</v>
      </c>
      <c r="E227" s="206" t="s">
        <v>144</v>
      </c>
      <c r="F227" s="208">
        <v>1</v>
      </c>
      <c r="G227" s="209">
        <v>99.102723999999995</v>
      </c>
      <c r="H227" s="209">
        <v>99.102723999999995</v>
      </c>
      <c r="I227" s="210">
        <f t="shared" si="6"/>
        <v>8.3248308110954908E-5</v>
      </c>
      <c r="J227" s="211">
        <f t="shared" si="7"/>
        <v>0.99830934101079849</v>
      </c>
      <c r="K227" s="212" t="s">
        <v>662</v>
      </c>
    </row>
    <row r="228" spans="1:11" s="151" customFormat="1" x14ac:dyDescent="0.25">
      <c r="A228" s="205" t="s">
        <v>296</v>
      </c>
      <c r="B228" s="206" t="s">
        <v>965</v>
      </c>
      <c r="C228" s="206" t="s">
        <v>106</v>
      </c>
      <c r="D228" s="207" t="s">
        <v>297</v>
      </c>
      <c r="E228" s="206" t="s">
        <v>143</v>
      </c>
      <c r="F228" s="208">
        <v>27.56</v>
      </c>
      <c r="G228" s="209">
        <v>3.5020908849999999</v>
      </c>
      <c r="H228" s="209">
        <v>96.517624790599996</v>
      </c>
      <c r="I228" s="210">
        <f t="shared" si="6"/>
        <v>8.1076772084543388E-5</v>
      </c>
      <c r="J228" s="211">
        <f t="shared" si="7"/>
        <v>0.99839041778288307</v>
      </c>
      <c r="K228" s="212" t="s">
        <v>662</v>
      </c>
    </row>
    <row r="229" spans="1:11" s="151" customFormat="1" x14ac:dyDescent="0.25">
      <c r="A229" s="205" t="s">
        <v>285</v>
      </c>
      <c r="B229" s="207">
        <v>22025</v>
      </c>
      <c r="C229" s="206" t="s">
        <v>790</v>
      </c>
      <c r="D229" s="207" t="s">
        <v>791</v>
      </c>
      <c r="E229" s="206" t="s">
        <v>107</v>
      </c>
      <c r="F229" s="208">
        <v>11</v>
      </c>
      <c r="G229" s="209">
        <v>8.5728999999999989</v>
      </c>
      <c r="H229" s="209">
        <v>94.301899999999989</v>
      </c>
      <c r="I229" s="210">
        <f t="shared" si="6"/>
        <v>7.9215518098659508E-5</v>
      </c>
      <c r="J229" s="211">
        <f t="shared" si="7"/>
        <v>0.99846963330098171</v>
      </c>
      <c r="K229" s="212" t="s">
        <v>662</v>
      </c>
    </row>
    <row r="230" spans="1:11" s="151" customFormat="1" ht="30" x14ac:dyDescent="0.25">
      <c r="A230" s="205" t="s">
        <v>712</v>
      </c>
      <c r="B230" s="206" t="s">
        <v>927</v>
      </c>
      <c r="C230" s="206" t="s">
        <v>907</v>
      </c>
      <c r="D230" s="207" t="s">
        <v>926</v>
      </c>
      <c r="E230" s="206" t="s">
        <v>144</v>
      </c>
      <c r="F230" s="208">
        <v>1</v>
      </c>
      <c r="G230" s="209">
        <v>92.562825999999987</v>
      </c>
      <c r="H230" s="209">
        <v>92.562825999999987</v>
      </c>
      <c r="I230" s="210">
        <f t="shared" si="6"/>
        <v>7.7754660492164747E-5</v>
      </c>
      <c r="J230" s="211">
        <f t="shared" si="7"/>
        <v>0.99854738796147391</v>
      </c>
      <c r="K230" s="212" t="s">
        <v>662</v>
      </c>
    </row>
    <row r="231" spans="1:11" s="151" customFormat="1" ht="30" x14ac:dyDescent="0.25">
      <c r="A231" s="205" t="s">
        <v>489</v>
      </c>
      <c r="B231" s="206" t="s">
        <v>898</v>
      </c>
      <c r="C231" s="206" t="s">
        <v>6</v>
      </c>
      <c r="D231" s="207" t="s">
        <v>897</v>
      </c>
      <c r="E231" s="206" t="s">
        <v>144</v>
      </c>
      <c r="F231" s="208">
        <v>1</v>
      </c>
      <c r="G231" s="209">
        <v>91.301384999999982</v>
      </c>
      <c r="H231" s="209">
        <v>91.301384999999982</v>
      </c>
      <c r="I231" s="210">
        <f t="shared" si="6"/>
        <v>7.6695024340974884E-5</v>
      </c>
      <c r="J231" s="211">
        <f t="shared" si="7"/>
        <v>0.99862408298581484</v>
      </c>
      <c r="K231" s="212" t="s">
        <v>662</v>
      </c>
    </row>
    <row r="232" spans="1:11" s="151" customFormat="1" x14ac:dyDescent="0.25">
      <c r="A232" s="205" t="s">
        <v>166</v>
      </c>
      <c r="B232" s="206" t="s">
        <v>977</v>
      </c>
      <c r="C232" s="206" t="s">
        <v>106</v>
      </c>
      <c r="D232" s="328" t="s">
        <v>586</v>
      </c>
      <c r="E232" s="206" t="s">
        <v>144</v>
      </c>
      <c r="F232" s="208">
        <v>2</v>
      </c>
      <c r="G232" s="209">
        <v>44.050009600000003</v>
      </c>
      <c r="H232" s="209">
        <v>88.100019200000006</v>
      </c>
      <c r="I232" s="210">
        <f t="shared" si="6"/>
        <v>7.4005811817469755E-5</v>
      </c>
      <c r="J232" s="211">
        <f t="shared" si="7"/>
        <v>0.99869808879763233</v>
      </c>
      <c r="K232" s="212" t="s">
        <v>662</v>
      </c>
    </row>
    <row r="233" spans="1:11" s="151" customFormat="1" x14ac:dyDescent="0.25">
      <c r="A233" s="205" t="s">
        <v>498</v>
      </c>
      <c r="B233" s="213" t="s">
        <v>595</v>
      </c>
      <c r="C233" s="206" t="s">
        <v>106</v>
      </c>
      <c r="D233" s="207" t="s">
        <v>457</v>
      </c>
      <c r="E233" s="206" t="s">
        <v>458</v>
      </c>
      <c r="F233" s="208">
        <v>12</v>
      </c>
      <c r="G233" s="209">
        <v>7.3359529999999999</v>
      </c>
      <c r="H233" s="209">
        <v>88.031435999999999</v>
      </c>
      <c r="I233" s="210">
        <f t="shared" si="6"/>
        <v>7.3948200531579817E-5</v>
      </c>
      <c r="J233" s="211">
        <f t="shared" si="7"/>
        <v>0.99877203699816386</v>
      </c>
      <c r="K233" s="212" t="s">
        <v>662</v>
      </c>
    </row>
    <row r="234" spans="1:11" s="151" customFormat="1" x14ac:dyDescent="0.25">
      <c r="A234" s="205" t="s">
        <v>1036</v>
      </c>
      <c r="B234" s="206">
        <v>9816</v>
      </c>
      <c r="C234" s="206" t="s">
        <v>140</v>
      </c>
      <c r="D234" s="207" t="s">
        <v>449</v>
      </c>
      <c r="E234" s="206" t="s">
        <v>144</v>
      </c>
      <c r="F234" s="208">
        <v>156</v>
      </c>
      <c r="G234" s="209">
        <v>0.56336200000000003</v>
      </c>
      <c r="H234" s="209">
        <v>87.884472000000002</v>
      </c>
      <c r="I234" s="210">
        <f t="shared" si="6"/>
        <v>7.3824747776101392E-5</v>
      </c>
      <c r="J234" s="211">
        <f t="shared" si="7"/>
        <v>0.99884586174593992</v>
      </c>
      <c r="K234" s="212" t="s">
        <v>662</v>
      </c>
    </row>
    <row r="235" spans="1:11" s="151" customFormat="1" x14ac:dyDescent="0.25">
      <c r="A235" s="205" t="s">
        <v>544</v>
      </c>
      <c r="B235" s="206">
        <v>9832</v>
      </c>
      <c r="C235" s="206" t="s">
        <v>140</v>
      </c>
      <c r="D235" s="207" t="s">
        <v>451</v>
      </c>
      <c r="E235" s="206" t="s">
        <v>144</v>
      </c>
      <c r="F235" s="208">
        <v>58</v>
      </c>
      <c r="G235" s="209">
        <v>1.4696399999999998</v>
      </c>
      <c r="H235" s="209">
        <v>85.239119999999986</v>
      </c>
      <c r="I235" s="210">
        <f t="shared" si="6"/>
        <v>7.1602598177489634E-5</v>
      </c>
      <c r="J235" s="211">
        <f t="shared" si="7"/>
        <v>0.99891746434411743</v>
      </c>
      <c r="K235" s="212" t="s">
        <v>662</v>
      </c>
    </row>
    <row r="236" spans="1:11" s="151" customFormat="1" x14ac:dyDescent="0.25">
      <c r="A236" s="205" t="s">
        <v>1069</v>
      </c>
      <c r="B236" s="206" t="s">
        <v>969</v>
      </c>
      <c r="C236" s="206" t="s">
        <v>156</v>
      </c>
      <c r="D236" s="207" t="s">
        <v>945</v>
      </c>
      <c r="E236" s="206" t="s">
        <v>144</v>
      </c>
      <c r="F236" s="208">
        <v>4</v>
      </c>
      <c r="G236" s="209">
        <v>20.669874249999996</v>
      </c>
      <c r="H236" s="209">
        <v>82.679496999999984</v>
      </c>
      <c r="I236" s="210">
        <f t="shared" si="6"/>
        <v>6.9452462686240299E-5</v>
      </c>
      <c r="J236" s="211">
        <f t="shared" si="7"/>
        <v>0.99898691680680363</v>
      </c>
      <c r="K236" s="212" t="s">
        <v>662</v>
      </c>
    </row>
    <row r="237" spans="1:11" s="151" customFormat="1" x14ac:dyDescent="0.25">
      <c r="A237" s="205" t="s">
        <v>1042</v>
      </c>
      <c r="B237" s="206">
        <v>4015</v>
      </c>
      <c r="C237" s="206" t="s">
        <v>140</v>
      </c>
      <c r="D237" s="207" t="s">
        <v>431</v>
      </c>
      <c r="E237" s="206" t="s">
        <v>144</v>
      </c>
      <c r="F237" s="208">
        <v>5</v>
      </c>
      <c r="G237" s="209">
        <v>15.431219999999998</v>
      </c>
      <c r="H237" s="209">
        <v>77.156099999999995</v>
      </c>
      <c r="I237" s="210">
        <f t="shared" si="6"/>
        <v>6.4812696626175963E-5</v>
      </c>
      <c r="J237" s="211">
        <f t="shared" si="7"/>
        <v>0.9990517295034298</v>
      </c>
      <c r="K237" s="212" t="s">
        <v>662</v>
      </c>
    </row>
    <row r="238" spans="1:11" s="151" customFormat="1" ht="30" x14ac:dyDescent="0.25">
      <c r="A238" s="205" t="s">
        <v>96</v>
      </c>
      <c r="B238" s="206" t="s">
        <v>26</v>
      </c>
      <c r="C238" s="206" t="s">
        <v>6</v>
      </c>
      <c r="D238" s="207" t="s">
        <v>27</v>
      </c>
      <c r="E238" s="206" t="s">
        <v>107</v>
      </c>
      <c r="F238" s="208">
        <v>3.3150999999999997</v>
      </c>
      <c r="G238" s="209">
        <v>22.607962000000001</v>
      </c>
      <c r="H238" s="209">
        <v>74.947654826199994</v>
      </c>
      <c r="I238" s="210">
        <f t="shared" si="6"/>
        <v>6.2957557666780119E-5</v>
      </c>
      <c r="J238" s="211">
        <f t="shared" si="7"/>
        <v>0.99911468706109663</v>
      </c>
      <c r="K238" s="212" t="s">
        <v>662</v>
      </c>
    </row>
    <row r="239" spans="1:11" s="151" customFormat="1" x14ac:dyDescent="0.25">
      <c r="A239" s="205" t="s">
        <v>504</v>
      </c>
      <c r="B239" s="206" t="s">
        <v>434</v>
      </c>
      <c r="C239" s="206" t="s">
        <v>6</v>
      </c>
      <c r="D239" s="207" t="s">
        <v>433</v>
      </c>
      <c r="E239" s="206" t="s">
        <v>144</v>
      </c>
      <c r="F239" s="208">
        <v>1</v>
      </c>
      <c r="G239" s="209">
        <v>72.416511</v>
      </c>
      <c r="H239" s="209">
        <v>72.416511</v>
      </c>
      <c r="I239" s="210">
        <f t="shared" si="6"/>
        <v>6.0831345261996585E-5</v>
      </c>
      <c r="J239" s="211">
        <f t="shared" si="7"/>
        <v>0.99917551840635865</v>
      </c>
      <c r="K239" s="212" t="s">
        <v>662</v>
      </c>
    </row>
    <row r="240" spans="1:11" s="151" customFormat="1" x14ac:dyDescent="0.25">
      <c r="A240" s="205" t="s">
        <v>1044</v>
      </c>
      <c r="B240" s="206" t="s">
        <v>434</v>
      </c>
      <c r="C240" s="206" t="s">
        <v>6</v>
      </c>
      <c r="D240" s="207" t="s">
        <v>433</v>
      </c>
      <c r="E240" s="206" t="s">
        <v>144</v>
      </c>
      <c r="F240" s="208">
        <v>1</v>
      </c>
      <c r="G240" s="209">
        <v>72.416511</v>
      </c>
      <c r="H240" s="209">
        <v>72.416511</v>
      </c>
      <c r="I240" s="210">
        <f t="shared" si="6"/>
        <v>6.0831345261996585E-5</v>
      </c>
      <c r="J240" s="211">
        <f t="shared" si="7"/>
        <v>0.99923634975162068</v>
      </c>
      <c r="K240" s="212" t="s">
        <v>662</v>
      </c>
    </row>
    <row r="241" spans="1:11" s="151" customFormat="1" x14ac:dyDescent="0.25">
      <c r="A241" s="205" t="s">
        <v>1041</v>
      </c>
      <c r="B241" s="206">
        <v>3301</v>
      </c>
      <c r="C241" s="206" t="s">
        <v>140</v>
      </c>
      <c r="D241" s="207" t="s">
        <v>432</v>
      </c>
      <c r="E241" s="206" t="s">
        <v>144</v>
      </c>
      <c r="F241" s="208">
        <v>200</v>
      </c>
      <c r="G241" s="209">
        <v>0.35516299999999995</v>
      </c>
      <c r="H241" s="209">
        <v>71.032599999999988</v>
      </c>
      <c r="I241" s="210">
        <f t="shared" si="6"/>
        <v>5.9668831814574691E-5</v>
      </c>
      <c r="J241" s="211">
        <f t="shared" si="7"/>
        <v>0.99929601858343531</v>
      </c>
      <c r="K241" s="212" t="s">
        <v>662</v>
      </c>
    </row>
    <row r="242" spans="1:11" s="151" customFormat="1" x14ac:dyDescent="0.25">
      <c r="A242" s="205" t="s">
        <v>295</v>
      </c>
      <c r="B242" s="206" t="s">
        <v>381</v>
      </c>
      <c r="C242" s="206" t="s">
        <v>156</v>
      </c>
      <c r="D242" s="207" t="s">
        <v>868</v>
      </c>
      <c r="E242" s="206" t="s">
        <v>144</v>
      </c>
      <c r="F242" s="208">
        <v>1</v>
      </c>
      <c r="G242" s="209">
        <v>68.264777999999993</v>
      </c>
      <c r="H242" s="209">
        <v>68.264777999999993</v>
      </c>
      <c r="I242" s="210">
        <f t="shared" si="6"/>
        <v>5.7343804919730921E-5</v>
      </c>
      <c r="J242" s="211">
        <f t="shared" si="7"/>
        <v>0.99935336238835504</v>
      </c>
      <c r="K242" s="212" t="s">
        <v>662</v>
      </c>
    </row>
    <row r="243" spans="1:11" s="151" customFormat="1" ht="30" x14ac:dyDescent="0.25">
      <c r="A243" s="205" t="s">
        <v>67</v>
      </c>
      <c r="B243" s="206">
        <v>89714</v>
      </c>
      <c r="C243" s="206" t="s">
        <v>17</v>
      </c>
      <c r="D243" s="328" t="s">
        <v>603</v>
      </c>
      <c r="E243" s="206" t="s">
        <v>143</v>
      </c>
      <c r="F243" s="208">
        <v>1.5</v>
      </c>
      <c r="G243" s="209">
        <v>45.007724999999994</v>
      </c>
      <c r="H243" s="209">
        <v>67.51158749999999</v>
      </c>
      <c r="I243" s="210">
        <f t="shared" si="6"/>
        <v>5.6711109547903964E-5</v>
      </c>
      <c r="J243" s="211">
        <f t="shared" si="7"/>
        <v>0.9994100734979029</v>
      </c>
      <c r="K243" s="212" t="s">
        <v>662</v>
      </c>
    </row>
    <row r="244" spans="1:11" s="151" customFormat="1" ht="30" x14ac:dyDescent="0.25">
      <c r="A244" s="205" t="s">
        <v>1057</v>
      </c>
      <c r="B244" s="206">
        <v>93654</v>
      </c>
      <c r="C244" s="206" t="s">
        <v>17</v>
      </c>
      <c r="D244" s="207" t="s">
        <v>752</v>
      </c>
      <c r="E244" s="206" t="s">
        <v>144</v>
      </c>
      <c r="F244" s="208">
        <v>3</v>
      </c>
      <c r="G244" s="209">
        <v>21.946624</v>
      </c>
      <c r="H244" s="209">
        <v>65.839872</v>
      </c>
      <c r="I244" s="210">
        <f t="shared" si="6"/>
        <v>5.5306834454336828E-5</v>
      </c>
      <c r="J244" s="211">
        <f t="shared" si="7"/>
        <v>0.99946538033235721</v>
      </c>
      <c r="K244" s="212" t="s">
        <v>662</v>
      </c>
    </row>
    <row r="245" spans="1:11" s="151" customFormat="1" ht="30" x14ac:dyDescent="0.25">
      <c r="A245" s="205" t="s">
        <v>711</v>
      </c>
      <c r="B245" s="206" t="s">
        <v>925</v>
      </c>
      <c r="C245" s="206" t="s">
        <v>907</v>
      </c>
      <c r="D245" s="207" t="s">
        <v>924</v>
      </c>
      <c r="E245" s="206" t="s">
        <v>144</v>
      </c>
      <c r="F245" s="208">
        <v>1</v>
      </c>
      <c r="G245" s="209">
        <v>63.990574999999993</v>
      </c>
      <c r="H245" s="209">
        <v>63.990574999999993</v>
      </c>
      <c r="I245" s="210">
        <f t="shared" si="6"/>
        <v>5.3753387281233238E-5</v>
      </c>
      <c r="J245" s="211">
        <f t="shared" si="7"/>
        <v>0.99951913371963841</v>
      </c>
      <c r="K245" s="212" t="s">
        <v>662</v>
      </c>
    </row>
    <row r="246" spans="1:11" s="151" customFormat="1" x14ac:dyDescent="0.25">
      <c r="A246" s="205" t="s">
        <v>1070</v>
      </c>
      <c r="B246" s="206">
        <v>9427</v>
      </c>
      <c r="C246" s="206" t="s">
        <v>140</v>
      </c>
      <c r="D246" s="207" t="s">
        <v>949</v>
      </c>
      <c r="E246" s="206" t="s">
        <v>144</v>
      </c>
      <c r="F246" s="208">
        <v>9</v>
      </c>
      <c r="G246" s="209">
        <v>6.760343999999999</v>
      </c>
      <c r="H246" s="209">
        <v>60.843095999999989</v>
      </c>
      <c r="I246" s="210">
        <f t="shared" si="6"/>
        <v>5.1109440768070183E-5</v>
      </c>
      <c r="J246" s="211">
        <f t="shared" si="7"/>
        <v>0.99957024316040644</v>
      </c>
      <c r="K246" s="212" t="s">
        <v>662</v>
      </c>
    </row>
    <row r="247" spans="1:11" s="151" customFormat="1" ht="30" x14ac:dyDescent="0.25">
      <c r="A247" s="205" t="s">
        <v>518</v>
      </c>
      <c r="B247" s="207" t="s">
        <v>908</v>
      </c>
      <c r="C247" s="206" t="s">
        <v>907</v>
      </c>
      <c r="D247" s="207" t="s">
        <v>906</v>
      </c>
      <c r="E247" s="206" t="s">
        <v>144</v>
      </c>
      <c r="F247" s="208">
        <v>1</v>
      </c>
      <c r="G247" s="209">
        <v>60.696131999999999</v>
      </c>
      <c r="H247" s="209">
        <v>60.696131999999999</v>
      </c>
      <c r="I247" s="210">
        <f t="shared" si="6"/>
        <v>5.0985988012591758E-5</v>
      </c>
      <c r="J247" s="211">
        <f t="shared" si="7"/>
        <v>0.999621229148419</v>
      </c>
      <c r="K247" s="212" t="s">
        <v>662</v>
      </c>
    </row>
    <row r="248" spans="1:11" s="151" customFormat="1" ht="30" x14ac:dyDescent="0.25">
      <c r="A248" s="205" t="s">
        <v>520</v>
      </c>
      <c r="B248" s="207" t="s">
        <v>911</v>
      </c>
      <c r="C248" s="206" t="s">
        <v>907</v>
      </c>
      <c r="D248" s="207" t="s">
        <v>910</v>
      </c>
      <c r="E248" s="206" t="s">
        <v>144</v>
      </c>
      <c r="F248" s="208">
        <v>1</v>
      </c>
      <c r="G248" s="209">
        <v>59.006045999999998</v>
      </c>
      <c r="H248" s="209">
        <v>59.006045999999998</v>
      </c>
      <c r="I248" s="210">
        <f t="shared" si="6"/>
        <v>4.956628132458981E-5</v>
      </c>
      <c r="J248" s="211">
        <f t="shared" si="7"/>
        <v>0.99967079542974357</v>
      </c>
      <c r="K248" s="212" t="s">
        <v>662</v>
      </c>
    </row>
    <row r="249" spans="1:11" s="151" customFormat="1" x14ac:dyDescent="0.25">
      <c r="A249" s="205" t="s">
        <v>746</v>
      </c>
      <c r="B249" s="206" t="s">
        <v>729</v>
      </c>
      <c r="C249" s="206" t="s">
        <v>6</v>
      </c>
      <c r="D249" s="207" t="s">
        <v>730</v>
      </c>
      <c r="E249" s="206" t="s">
        <v>445</v>
      </c>
      <c r="F249" s="208">
        <v>3</v>
      </c>
      <c r="G249" s="209">
        <v>17.635680000000001</v>
      </c>
      <c r="H249" s="209">
        <v>52.907040000000002</v>
      </c>
      <c r="I249" s="210">
        <f t="shared" si="6"/>
        <v>4.444299197223495E-5</v>
      </c>
      <c r="J249" s="211">
        <f t="shared" si="7"/>
        <v>0.99971523842171583</v>
      </c>
      <c r="K249" s="212" t="s">
        <v>662</v>
      </c>
    </row>
    <row r="250" spans="1:11" s="151" customFormat="1" ht="30" x14ac:dyDescent="0.25">
      <c r="A250" s="205" t="s">
        <v>486</v>
      </c>
      <c r="B250" s="206">
        <v>90458</v>
      </c>
      <c r="C250" s="206" t="s">
        <v>17</v>
      </c>
      <c r="D250" s="207" t="s">
        <v>422</v>
      </c>
      <c r="E250" s="206" t="s">
        <v>144</v>
      </c>
      <c r="F250" s="208">
        <v>1</v>
      </c>
      <c r="G250" s="209">
        <v>43.391120999999998</v>
      </c>
      <c r="H250" s="209">
        <v>43.391120999999998</v>
      </c>
      <c r="I250" s="210">
        <f t="shared" si="6"/>
        <v>3.6449426055006579E-5</v>
      </c>
      <c r="J250" s="211">
        <f t="shared" si="7"/>
        <v>0.9997516878477708</v>
      </c>
      <c r="K250" s="212" t="s">
        <v>662</v>
      </c>
    </row>
    <row r="251" spans="1:11" s="151" customFormat="1" ht="30" x14ac:dyDescent="0.25">
      <c r="A251" s="205" t="s">
        <v>1039</v>
      </c>
      <c r="B251" s="206">
        <v>90458</v>
      </c>
      <c r="C251" s="206" t="s">
        <v>17</v>
      </c>
      <c r="D251" s="207" t="s">
        <v>422</v>
      </c>
      <c r="E251" s="206" t="s">
        <v>144</v>
      </c>
      <c r="F251" s="208">
        <v>1</v>
      </c>
      <c r="G251" s="209">
        <v>43.391120999999998</v>
      </c>
      <c r="H251" s="209">
        <v>43.391120999999998</v>
      </c>
      <c r="I251" s="210">
        <f t="shared" si="6"/>
        <v>3.6449426055006579E-5</v>
      </c>
      <c r="J251" s="211">
        <f t="shared" si="7"/>
        <v>0.99978813727382576</v>
      </c>
      <c r="K251" s="212" t="s">
        <v>662</v>
      </c>
    </row>
    <row r="252" spans="1:11" s="151" customFormat="1" x14ac:dyDescent="0.25">
      <c r="A252" s="205" t="s">
        <v>490</v>
      </c>
      <c r="B252" s="206" t="s">
        <v>969</v>
      </c>
      <c r="C252" s="206" t="s">
        <v>156</v>
      </c>
      <c r="D252" s="207" t="s">
        <v>945</v>
      </c>
      <c r="E252" s="206" t="s">
        <v>144</v>
      </c>
      <c r="F252" s="208">
        <v>2</v>
      </c>
      <c r="G252" s="209">
        <v>20.669874249999996</v>
      </c>
      <c r="H252" s="209">
        <v>41.339748499999992</v>
      </c>
      <c r="I252" s="210">
        <f t="shared" si="6"/>
        <v>3.4726231343120149E-5</v>
      </c>
      <c r="J252" s="211">
        <f t="shared" si="7"/>
        <v>0.99982286350516891</v>
      </c>
      <c r="K252" s="212" t="s">
        <v>662</v>
      </c>
    </row>
    <row r="253" spans="1:11" s="151" customFormat="1" x14ac:dyDescent="0.25">
      <c r="A253" s="205" t="s">
        <v>1026</v>
      </c>
      <c r="B253" s="206">
        <v>9427</v>
      </c>
      <c r="C253" s="206" t="s">
        <v>140</v>
      </c>
      <c r="D253" s="207" t="s">
        <v>949</v>
      </c>
      <c r="E253" s="206" t="s">
        <v>144</v>
      </c>
      <c r="F253" s="208">
        <v>6</v>
      </c>
      <c r="G253" s="209">
        <v>6.760343999999999</v>
      </c>
      <c r="H253" s="209">
        <v>40.562063999999992</v>
      </c>
      <c r="I253" s="210">
        <f t="shared" si="6"/>
        <v>3.4072960512046786E-5</v>
      </c>
      <c r="J253" s="211">
        <f t="shared" si="7"/>
        <v>0.99985693646568097</v>
      </c>
      <c r="K253" s="212" t="s">
        <v>662</v>
      </c>
    </row>
    <row r="254" spans="1:11" s="151" customFormat="1" ht="30" x14ac:dyDescent="0.25">
      <c r="A254" s="205" t="s">
        <v>495</v>
      </c>
      <c r="B254" s="206" t="s">
        <v>970</v>
      </c>
      <c r="C254" s="206" t="s">
        <v>156</v>
      </c>
      <c r="D254" s="207" t="s">
        <v>719</v>
      </c>
      <c r="E254" s="206" t="s">
        <v>144</v>
      </c>
      <c r="F254" s="208">
        <v>1</v>
      </c>
      <c r="G254" s="209">
        <v>35.557082509999994</v>
      </c>
      <c r="H254" s="209">
        <v>35.557082509999994</v>
      </c>
      <c r="I254" s="210">
        <f t="shared" si="6"/>
        <v>2.9868674046932611E-5</v>
      </c>
      <c r="J254" s="211">
        <f t="shared" si="7"/>
        <v>0.99988680513972794</v>
      </c>
      <c r="K254" s="212" t="s">
        <v>662</v>
      </c>
    </row>
    <row r="255" spans="1:11" s="151" customFormat="1" x14ac:dyDescent="0.25">
      <c r="A255" s="205" t="s">
        <v>542</v>
      </c>
      <c r="B255" s="206">
        <v>9816</v>
      </c>
      <c r="C255" s="206" t="s">
        <v>140</v>
      </c>
      <c r="D255" s="207" t="s">
        <v>449</v>
      </c>
      <c r="E255" s="206" t="s">
        <v>144</v>
      </c>
      <c r="F255" s="208">
        <v>58</v>
      </c>
      <c r="G255" s="209">
        <v>0.56336200000000003</v>
      </c>
      <c r="H255" s="209">
        <v>32.674996</v>
      </c>
      <c r="I255" s="210">
        <f t="shared" si="6"/>
        <v>2.7447662634704363E-5</v>
      </c>
      <c r="J255" s="211">
        <f t="shared" si="7"/>
        <v>0.99991425280236268</v>
      </c>
      <c r="K255" s="212" t="s">
        <v>662</v>
      </c>
    </row>
    <row r="256" spans="1:11" s="151" customFormat="1" ht="45" x14ac:dyDescent="0.25">
      <c r="A256" s="205" t="s">
        <v>482</v>
      </c>
      <c r="B256" s="206" t="s">
        <v>376</v>
      </c>
      <c r="C256" s="206" t="s">
        <v>6</v>
      </c>
      <c r="D256" s="207" t="s">
        <v>375</v>
      </c>
      <c r="E256" s="206" t="s">
        <v>143</v>
      </c>
      <c r="F256" s="208">
        <v>2.73</v>
      </c>
      <c r="G256" s="209">
        <v>10.165010000000001</v>
      </c>
      <c r="H256" s="209">
        <v>27.7504773</v>
      </c>
      <c r="I256" s="210">
        <f t="shared" si="6"/>
        <v>2.3310966553214624E-5</v>
      </c>
      <c r="J256" s="211">
        <f t="shared" si="7"/>
        <v>0.99993756376891585</v>
      </c>
      <c r="K256" s="212" t="s">
        <v>662</v>
      </c>
    </row>
    <row r="257" spans="1:11" s="151" customFormat="1" ht="30" x14ac:dyDescent="0.25">
      <c r="A257" s="205" t="s">
        <v>519</v>
      </c>
      <c r="B257" s="207">
        <v>7877</v>
      </c>
      <c r="C257" s="206" t="s">
        <v>140</v>
      </c>
      <c r="D257" s="207" t="s">
        <v>909</v>
      </c>
      <c r="E257" s="206" t="s">
        <v>144</v>
      </c>
      <c r="F257" s="208">
        <v>1</v>
      </c>
      <c r="G257" s="209">
        <v>25.730947</v>
      </c>
      <c r="H257" s="209">
        <v>25.730947</v>
      </c>
      <c r="I257" s="210">
        <f t="shared" si="6"/>
        <v>2.1614519938348527E-5</v>
      </c>
      <c r="J257" s="211">
        <f t="shared" si="7"/>
        <v>0.99995917828885417</v>
      </c>
      <c r="K257" s="212" t="s">
        <v>662</v>
      </c>
    </row>
    <row r="258" spans="1:11" s="151" customFormat="1" x14ac:dyDescent="0.25">
      <c r="A258" s="205" t="s">
        <v>1030</v>
      </c>
      <c r="B258" s="206">
        <v>12506</v>
      </c>
      <c r="C258" s="206" t="s">
        <v>140</v>
      </c>
      <c r="D258" s="207" t="s">
        <v>914</v>
      </c>
      <c r="E258" s="206" t="s">
        <v>144</v>
      </c>
      <c r="F258" s="208">
        <v>28</v>
      </c>
      <c r="G258" s="209">
        <v>0.64909099999999997</v>
      </c>
      <c r="H258" s="209">
        <v>18.174547999999998</v>
      </c>
      <c r="I258" s="210">
        <f t="shared" si="6"/>
        <v>1.526699076083256E-5</v>
      </c>
      <c r="J258" s="211">
        <f t="shared" si="7"/>
        <v>0.99997444527961499</v>
      </c>
      <c r="K258" s="212" t="s">
        <v>662</v>
      </c>
    </row>
    <row r="259" spans="1:11" s="151" customFormat="1" x14ac:dyDescent="0.25">
      <c r="A259" s="205" t="s">
        <v>1061</v>
      </c>
      <c r="B259" s="213" t="s">
        <v>595</v>
      </c>
      <c r="C259" s="206" t="s">
        <v>106</v>
      </c>
      <c r="D259" s="207" t="s">
        <v>457</v>
      </c>
      <c r="E259" s="206" t="s">
        <v>458</v>
      </c>
      <c r="F259" s="208">
        <v>1</v>
      </c>
      <c r="G259" s="209">
        <v>7.3359529999999999</v>
      </c>
      <c r="H259" s="209">
        <v>7.3359529999999999</v>
      </c>
      <c r="I259" s="210">
        <f t="shared" si="6"/>
        <v>6.1623500442983183E-6</v>
      </c>
      <c r="J259" s="211">
        <f t="shared" si="7"/>
        <v>0.99998060762965923</v>
      </c>
      <c r="K259" s="212" t="s">
        <v>662</v>
      </c>
    </row>
    <row r="260" spans="1:11" s="151" customFormat="1" x14ac:dyDescent="0.25">
      <c r="A260" s="205" t="s">
        <v>497</v>
      </c>
      <c r="B260" s="213" t="s">
        <v>591</v>
      </c>
      <c r="C260" s="206" t="s">
        <v>106</v>
      </c>
      <c r="D260" s="207" t="s">
        <v>685</v>
      </c>
      <c r="E260" s="206" t="s">
        <v>144</v>
      </c>
      <c r="F260" s="208">
        <v>1</v>
      </c>
      <c r="G260" s="209">
        <v>7.1032599999999988</v>
      </c>
      <c r="H260" s="209">
        <v>7.1032599999999988</v>
      </c>
      <c r="I260" s="210">
        <f t="shared" si="6"/>
        <v>5.9668831814574692E-6</v>
      </c>
      <c r="J260" s="211">
        <f t="shared" si="7"/>
        <v>0.99998657451284068</v>
      </c>
      <c r="K260" s="212" t="s">
        <v>662</v>
      </c>
    </row>
    <row r="261" spans="1:11" s="151" customFormat="1" x14ac:dyDescent="0.25">
      <c r="A261" s="205" t="s">
        <v>1060</v>
      </c>
      <c r="B261" s="213" t="s">
        <v>591</v>
      </c>
      <c r="C261" s="206" t="s">
        <v>106</v>
      </c>
      <c r="D261" s="207" t="s">
        <v>685</v>
      </c>
      <c r="E261" s="206" t="s">
        <v>144</v>
      </c>
      <c r="F261" s="208">
        <v>1</v>
      </c>
      <c r="G261" s="209">
        <v>7.1032599999999988</v>
      </c>
      <c r="H261" s="209">
        <v>7.1032599999999988</v>
      </c>
      <c r="I261" s="210">
        <f t="shared" si="6"/>
        <v>5.9668831814574692E-6</v>
      </c>
      <c r="J261" s="211">
        <f t="shared" si="7"/>
        <v>0.99999254139602212</v>
      </c>
      <c r="K261" s="212" t="s">
        <v>662</v>
      </c>
    </row>
    <row r="262" spans="1:11" s="151" customFormat="1" x14ac:dyDescent="0.25">
      <c r="A262" s="205" t="s">
        <v>547</v>
      </c>
      <c r="B262" s="213" t="s">
        <v>591</v>
      </c>
      <c r="C262" s="206" t="s">
        <v>106</v>
      </c>
      <c r="D262" s="207" t="s">
        <v>685</v>
      </c>
      <c r="E262" s="206" t="s">
        <v>144</v>
      </c>
      <c r="F262" s="208">
        <v>1</v>
      </c>
      <c r="G262" s="209">
        <v>7.1032599999999988</v>
      </c>
      <c r="H262" s="209">
        <v>7.1032599999999988</v>
      </c>
      <c r="I262" s="210">
        <f t="shared" ref="I262:I325" si="8">H262/$H$265</f>
        <v>5.9668831814574692E-6</v>
      </c>
      <c r="J262" s="211">
        <f t="shared" si="7"/>
        <v>0.99999850827920356</v>
      </c>
      <c r="K262" s="212" t="s">
        <v>662</v>
      </c>
    </row>
    <row r="263" spans="1:11" s="151" customFormat="1" ht="15.75" thickBot="1" x14ac:dyDescent="0.3">
      <c r="A263" s="215" t="s">
        <v>502</v>
      </c>
      <c r="B263" s="216">
        <v>3301</v>
      </c>
      <c r="C263" s="216" t="s">
        <v>140</v>
      </c>
      <c r="D263" s="330" t="s">
        <v>432</v>
      </c>
      <c r="E263" s="216" t="s">
        <v>144</v>
      </c>
      <c r="F263" s="217">
        <v>5</v>
      </c>
      <c r="G263" s="218">
        <v>0.35516299999999995</v>
      </c>
      <c r="H263" s="218">
        <v>1.7758149999999997</v>
      </c>
      <c r="I263" s="219">
        <f t="shared" si="8"/>
        <v>1.4917207953643673E-6</v>
      </c>
      <c r="J263" s="220">
        <f t="shared" si="7"/>
        <v>0.99999999999999889</v>
      </c>
      <c r="K263" s="221" t="s">
        <v>662</v>
      </c>
    </row>
    <row r="264" spans="1:11" ht="15.75" thickBot="1" x14ac:dyDescent="0.3">
      <c r="A264" s="555"/>
      <c r="B264" s="556"/>
      <c r="C264" s="556"/>
      <c r="D264" s="556"/>
      <c r="E264" s="556"/>
      <c r="F264" s="556"/>
      <c r="G264" s="556"/>
      <c r="H264" s="556"/>
      <c r="I264" s="556"/>
      <c r="J264" s="556"/>
      <c r="K264" s="557"/>
    </row>
    <row r="265" spans="1:11" s="37" customFormat="1" ht="29.25" customHeight="1" thickBot="1" x14ac:dyDescent="0.3">
      <c r="A265" s="558" t="s">
        <v>280</v>
      </c>
      <c r="B265" s="559"/>
      <c r="C265" s="559"/>
      <c r="D265" s="559"/>
      <c r="E265" s="559"/>
      <c r="F265" s="559"/>
      <c r="G265" s="560"/>
      <c r="H265" s="426">
        <f>SUM(H6:H263)</f>
        <v>1190447.3045616017</v>
      </c>
      <c r="I265" s="427">
        <f>SUM(I6:I263)</f>
        <v>0.99999999999999889</v>
      </c>
      <c r="J265" s="561"/>
      <c r="K265" s="562"/>
    </row>
    <row r="266" spans="1:11" ht="15.75" thickBot="1" x14ac:dyDescent="0.3">
      <c r="A266" s="525"/>
      <c r="B266" s="526"/>
      <c r="C266" s="526"/>
      <c r="D266" s="526"/>
      <c r="E266" s="526"/>
      <c r="F266" s="526"/>
      <c r="G266" s="526"/>
      <c r="H266" s="526"/>
      <c r="I266" s="526"/>
      <c r="J266" s="526"/>
      <c r="K266" s="527"/>
    </row>
    <row r="269" spans="1:11" x14ac:dyDescent="0.25">
      <c r="G269" s="79"/>
    </row>
    <row r="270" spans="1:11" x14ac:dyDescent="0.25">
      <c r="H270" s="79">
        <f ca="1">'Orçamento '!J323</f>
        <v>1190447.3045616013</v>
      </c>
    </row>
    <row r="274" spans="8:8" x14ac:dyDescent="0.25">
      <c r="H274" s="68" t="b">
        <f ca="1">H270=H265</f>
        <v>1</v>
      </c>
    </row>
  </sheetData>
  <sortState xmlns:xlrd2="http://schemas.microsoft.com/office/spreadsheetml/2017/richdata2" ref="A6:K263">
    <sortCondition descending="1" ref="I6:I263"/>
  </sortState>
  <mergeCells count="8">
    <mergeCell ref="A266:K266"/>
    <mergeCell ref="A1:K1"/>
    <mergeCell ref="B2:J2"/>
    <mergeCell ref="B3:J3"/>
    <mergeCell ref="B4:J4"/>
    <mergeCell ref="A264:K264"/>
    <mergeCell ref="A265:G265"/>
    <mergeCell ref="J265:K265"/>
  </mergeCells>
  <pageMargins left="0.511811024" right="0.511811024" top="0.78740157499999996" bottom="0.78740157499999996" header="0.31496062000000002" footer="0.31496062000000002"/>
  <pageSetup paperSize="9" scale="29" fitToHeight="0" orientation="portrait" r:id="rId1"/>
  <colBreaks count="1" manualBreakCount="1">
    <brk id="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Resumo</vt:lpstr>
      <vt:lpstr>Orçamento </vt:lpstr>
      <vt:lpstr>MC</vt:lpstr>
      <vt:lpstr>BDI</vt:lpstr>
      <vt:lpstr>CPU</vt:lpstr>
      <vt:lpstr>COT.</vt:lpstr>
      <vt:lpstr>CRON.</vt:lpstr>
      <vt:lpstr>CURVA ABC</vt:lpstr>
      <vt:lpstr>BDI!Area_de_impressao</vt:lpstr>
      <vt:lpstr>COT.!Area_de_impressao</vt:lpstr>
      <vt:lpstr>CRON.!Area_de_impressao</vt:lpstr>
      <vt:lpstr>'CURVA ABC'!Area_de_impressao</vt:lpstr>
      <vt:lpstr>MC!Area_de_impressao</vt:lpstr>
      <vt:lpstr>'Orçamento '!Area_de_impressao</vt:lpstr>
      <vt:lpstr>Resumo!Area_de_impressao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Rocca</dc:creator>
  <cp:lastModifiedBy>Amanda Gonçalves Staino</cp:lastModifiedBy>
  <cp:lastPrinted>2024-09-21T12:16:17Z</cp:lastPrinted>
  <dcterms:created xsi:type="dcterms:W3CDTF">2022-11-03T11:20:22Z</dcterms:created>
  <dcterms:modified xsi:type="dcterms:W3CDTF">2024-11-19T19:41:45Z</dcterms:modified>
</cp:coreProperties>
</file>