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autoCompressPictures="0" defaultThemeVersion="123820"/>
  <mc:AlternateContent xmlns:mc="http://schemas.openxmlformats.org/markup-compatibility/2006">
    <mc:Choice Requires="x15">
      <x15ac:absPath xmlns:x15ac="http://schemas.microsoft.com/office/spreadsheetml/2010/11/ac" url="C:\Users\jme10843\OneDrive\Área de Trabalho\ASCOM DIVERSOS\Pessoal\"/>
    </mc:Choice>
  </mc:AlternateContent>
  <xr:revisionPtr revIDLastSave="0" documentId="13_ncr:1_{30CD2539-5D69-4681-8925-C640639B0C1A}" xr6:coauthVersionLast="47" xr6:coauthVersionMax="47" xr10:uidLastSave="{00000000-0000-0000-0000-000000000000}"/>
  <bookViews>
    <workbookView xWindow="-120" yWindow="-120" windowWidth="29040" windowHeight="15720" firstSheet="1" activeTab="9" xr2:uid="{00000000-000D-0000-FFFF-FFFF00000000}"/>
  </bookViews>
  <sheets>
    <sheet name="OPM Abr25" sheetId="3" r:id="rId1"/>
    <sheet name="OPM Mai25" sheetId="16" r:id="rId2"/>
    <sheet name="OMP jun25" sheetId="17" r:id="rId3"/>
    <sheet name="OMP  Jul25" sheetId="18" r:id="rId4"/>
    <sheet name="OMP  Ago25" sheetId="19" r:id="rId5"/>
    <sheet name="OMP Set25" sheetId="20" r:id="rId6"/>
    <sheet name="OMP Out25" sheetId="21" r:id="rId7"/>
    <sheet name="OMP Dez25 (2)" sheetId="24" r:id="rId8"/>
    <sheet name="OMP Dez25" sheetId="22" r:id="rId9"/>
    <sheet name="OMP Jan26" sheetId="23" r:id="rId10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24" l="1"/>
  <c r="B64" i="24"/>
  <c r="D63" i="24"/>
  <c r="D62" i="24"/>
  <c r="D61" i="24"/>
  <c r="D60" i="24"/>
  <c r="I59" i="24"/>
  <c r="D59" i="24"/>
  <c r="D58" i="24"/>
  <c r="D57" i="24"/>
  <c r="D64" i="24" s="1"/>
  <c r="H55" i="24"/>
  <c r="G55" i="24"/>
  <c r="I54" i="24"/>
  <c r="C54" i="24"/>
  <c r="B54" i="24"/>
  <c r="I53" i="24"/>
  <c r="D53" i="24"/>
  <c r="I52" i="24"/>
  <c r="D52" i="24"/>
  <c r="D54" i="24" s="1"/>
  <c r="I51" i="24"/>
  <c r="I55" i="24" s="1"/>
  <c r="D51" i="24"/>
  <c r="D50" i="24"/>
  <c r="D49" i="24"/>
  <c r="H48" i="24"/>
  <c r="G48" i="24"/>
  <c r="I47" i="24"/>
  <c r="I46" i="24"/>
  <c r="C46" i="24"/>
  <c r="B46" i="24"/>
  <c r="I45" i="24"/>
  <c r="I48" i="24" s="1"/>
  <c r="D45" i="24"/>
  <c r="D44" i="24"/>
  <c r="D43" i="24"/>
  <c r="D46" i="24" s="1"/>
  <c r="H42" i="24"/>
  <c r="G42" i="24"/>
  <c r="I41" i="24"/>
  <c r="I40" i="24"/>
  <c r="C40" i="24"/>
  <c r="B40" i="24"/>
  <c r="I39" i="24"/>
  <c r="I42" i="24" s="1"/>
  <c r="D39" i="24"/>
  <c r="D38" i="24"/>
  <c r="D37" i="24"/>
  <c r="H36" i="24"/>
  <c r="G36" i="24"/>
  <c r="D36" i="24"/>
  <c r="D40" i="24" s="1"/>
  <c r="I35" i="24"/>
  <c r="I34" i="24"/>
  <c r="I33" i="24"/>
  <c r="I36" i="24" s="1"/>
  <c r="C33" i="24"/>
  <c r="B33" i="24"/>
  <c r="I32" i="24"/>
  <c r="D32" i="24"/>
  <c r="D31" i="24"/>
  <c r="D30" i="24"/>
  <c r="H29" i="24"/>
  <c r="G29" i="24"/>
  <c r="D29" i="24"/>
  <c r="I28" i="24"/>
  <c r="D28" i="24"/>
  <c r="D33" i="24" s="1"/>
  <c r="I27" i="24"/>
  <c r="D27" i="24"/>
  <c r="I26" i="24"/>
  <c r="D26" i="24"/>
  <c r="I25" i="24"/>
  <c r="D25" i="24"/>
  <c r="I24" i="24"/>
  <c r="D24" i="24"/>
  <c r="I23" i="24"/>
  <c r="I29" i="24" s="1"/>
  <c r="C21" i="24"/>
  <c r="B21" i="24"/>
  <c r="I57" i="24" s="1"/>
  <c r="I3" i="24" s="1"/>
  <c r="H20" i="24"/>
  <c r="G20" i="24"/>
  <c r="D20" i="24"/>
  <c r="I19" i="24"/>
  <c r="D19" i="24"/>
  <c r="I18" i="24"/>
  <c r="D18" i="24"/>
  <c r="I17" i="24"/>
  <c r="D17" i="24"/>
  <c r="I16" i="24"/>
  <c r="D16" i="24"/>
  <c r="I15" i="24"/>
  <c r="D15" i="24"/>
  <c r="I14" i="24"/>
  <c r="D14" i="24"/>
  <c r="I13" i="24"/>
  <c r="D13" i="24"/>
  <c r="I12" i="24"/>
  <c r="D12" i="24"/>
  <c r="I11" i="24"/>
  <c r="I20" i="24" s="1"/>
  <c r="D11" i="24"/>
  <c r="D21" i="24" s="1"/>
  <c r="D8" i="24"/>
  <c r="I5" i="24" s="1"/>
  <c r="C64" i="23"/>
  <c r="B64" i="23"/>
  <c r="D63" i="23"/>
  <c r="D62" i="23"/>
  <c r="D61" i="23"/>
  <c r="D60" i="23"/>
  <c r="D59" i="23"/>
  <c r="D58" i="23"/>
  <c r="D57" i="23"/>
  <c r="D64" i="23" s="1"/>
  <c r="H55" i="23"/>
  <c r="G55" i="23"/>
  <c r="I54" i="23"/>
  <c r="C54" i="23"/>
  <c r="B54" i="23"/>
  <c r="I53" i="23"/>
  <c r="D53" i="23"/>
  <c r="I52" i="23"/>
  <c r="D52" i="23"/>
  <c r="D54" i="23" s="1"/>
  <c r="I51" i="23"/>
  <c r="I55" i="23" s="1"/>
  <c r="D51" i="23"/>
  <c r="D50" i="23"/>
  <c r="D49" i="23"/>
  <c r="H48" i="23"/>
  <c r="G48" i="23"/>
  <c r="I47" i="23"/>
  <c r="I46" i="23"/>
  <c r="I48" i="23" s="1"/>
  <c r="D46" i="23"/>
  <c r="C46" i="23"/>
  <c r="B46" i="23"/>
  <c r="I45" i="23"/>
  <c r="D45" i="23"/>
  <c r="D44" i="23"/>
  <c r="D43" i="23"/>
  <c r="H42" i="23"/>
  <c r="G42" i="23"/>
  <c r="I41" i="23"/>
  <c r="I40" i="23"/>
  <c r="I42" i="23" s="1"/>
  <c r="D40" i="23"/>
  <c r="C40" i="23"/>
  <c r="B40" i="23"/>
  <c r="I39" i="23"/>
  <c r="D39" i="23"/>
  <c r="D38" i="23"/>
  <c r="D37" i="23"/>
  <c r="H36" i="23"/>
  <c r="G36" i="23"/>
  <c r="D36" i="23"/>
  <c r="I35" i="23"/>
  <c r="I34" i="23"/>
  <c r="I33" i="23"/>
  <c r="I36" i="23" s="1"/>
  <c r="D33" i="23"/>
  <c r="C33" i="23"/>
  <c r="B33" i="23"/>
  <c r="I32" i="23"/>
  <c r="D32" i="23"/>
  <c r="D31" i="23"/>
  <c r="D30" i="23"/>
  <c r="H29" i="23"/>
  <c r="G29" i="23"/>
  <c r="D29" i="23"/>
  <c r="I28" i="23"/>
  <c r="D28" i="23"/>
  <c r="I27" i="23"/>
  <c r="D27" i="23"/>
  <c r="I26" i="23"/>
  <c r="D26" i="23"/>
  <c r="I25" i="23"/>
  <c r="D25" i="23"/>
  <c r="I24" i="23"/>
  <c r="D24" i="23"/>
  <c r="I23" i="23"/>
  <c r="C21" i="23"/>
  <c r="I59" i="23" s="1"/>
  <c r="B21" i="23"/>
  <c r="H20" i="23"/>
  <c r="G20" i="23"/>
  <c r="D20" i="23"/>
  <c r="I19" i="23"/>
  <c r="D19" i="23"/>
  <c r="I18" i="23"/>
  <c r="D18" i="23"/>
  <c r="I17" i="23"/>
  <c r="D17" i="23"/>
  <c r="I16" i="23"/>
  <c r="D16" i="23"/>
  <c r="D21" i="23" s="1"/>
  <c r="I15" i="23"/>
  <c r="D15" i="23"/>
  <c r="I14" i="23"/>
  <c r="D14" i="23"/>
  <c r="I13" i="23"/>
  <c r="D13" i="23"/>
  <c r="I12" i="23"/>
  <c r="D12" i="23"/>
  <c r="I11" i="23"/>
  <c r="I20" i="23" s="1"/>
  <c r="D11" i="23"/>
  <c r="D8" i="23"/>
  <c r="I5" i="23" s="1"/>
  <c r="C64" i="22"/>
  <c r="B64" i="22"/>
  <c r="D63" i="22"/>
  <c r="D62" i="22"/>
  <c r="D61" i="22"/>
  <c r="D60" i="22"/>
  <c r="D59" i="22"/>
  <c r="D58" i="22"/>
  <c r="D57" i="22"/>
  <c r="D64" i="22" s="1"/>
  <c r="H55" i="22"/>
  <c r="G55" i="22"/>
  <c r="I54" i="22"/>
  <c r="C54" i="22"/>
  <c r="B54" i="22"/>
  <c r="I53" i="22"/>
  <c r="D53" i="22"/>
  <c r="I52" i="22"/>
  <c r="D52" i="22"/>
  <c r="D54" i="22" s="1"/>
  <c r="I51" i="22"/>
  <c r="I55" i="22" s="1"/>
  <c r="D51" i="22"/>
  <c r="D50" i="22"/>
  <c r="D49" i="22"/>
  <c r="H48" i="22"/>
  <c r="G48" i="22"/>
  <c r="I47" i="22"/>
  <c r="I46" i="22"/>
  <c r="D46" i="22"/>
  <c r="C46" i="22"/>
  <c r="B46" i="22"/>
  <c r="I45" i="22"/>
  <c r="I48" i="22" s="1"/>
  <c r="D45" i="22"/>
  <c r="D44" i="22"/>
  <c r="D43" i="22"/>
  <c r="I42" i="22"/>
  <c r="H42" i="22"/>
  <c r="G42" i="22"/>
  <c r="I41" i="22"/>
  <c r="I40" i="22"/>
  <c r="D40" i="22"/>
  <c r="C40" i="22"/>
  <c r="B40" i="22"/>
  <c r="I39" i="22"/>
  <c r="D39" i="22"/>
  <c r="D38" i="22"/>
  <c r="D37" i="22"/>
  <c r="H36" i="22"/>
  <c r="G36" i="22"/>
  <c r="D36" i="22"/>
  <c r="I35" i="22"/>
  <c r="I34" i="22"/>
  <c r="I36" i="22" s="1"/>
  <c r="I33" i="22"/>
  <c r="C33" i="22"/>
  <c r="B33" i="22"/>
  <c r="I32" i="22"/>
  <c r="D32" i="22"/>
  <c r="D31" i="22"/>
  <c r="D30" i="22"/>
  <c r="H29" i="22"/>
  <c r="G29" i="22"/>
  <c r="D29" i="22"/>
  <c r="D33" i="22" s="1"/>
  <c r="I28" i="22"/>
  <c r="D28" i="22"/>
  <c r="I27" i="22"/>
  <c r="D27" i="22"/>
  <c r="I26" i="22"/>
  <c r="D26" i="22"/>
  <c r="I25" i="22"/>
  <c r="D25" i="22"/>
  <c r="I24" i="22"/>
  <c r="D24" i="22"/>
  <c r="I23" i="22"/>
  <c r="I29" i="22" s="1"/>
  <c r="C21" i="22"/>
  <c r="I59" i="22" s="1"/>
  <c r="B21" i="22"/>
  <c r="H20" i="22"/>
  <c r="G20" i="22"/>
  <c r="D20" i="22"/>
  <c r="I19" i="22"/>
  <c r="D19" i="22"/>
  <c r="I18" i="22"/>
  <c r="D18" i="22"/>
  <c r="I17" i="22"/>
  <c r="D17" i="22"/>
  <c r="I16" i="22"/>
  <c r="D16" i="22"/>
  <c r="D21" i="22" s="1"/>
  <c r="I15" i="22"/>
  <c r="D15" i="22"/>
  <c r="I14" i="22"/>
  <c r="D14" i="22"/>
  <c r="I13" i="22"/>
  <c r="D13" i="22"/>
  <c r="I12" i="22"/>
  <c r="D12" i="22"/>
  <c r="I11" i="22"/>
  <c r="I20" i="22" s="1"/>
  <c r="D11" i="22"/>
  <c r="D8" i="22"/>
  <c r="C64" i="21"/>
  <c r="B64" i="21"/>
  <c r="D63" i="21"/>
  <c r="D62" i="21"/>
  <c r="D61" i="21"/>
  <c r="D60" i="21"/>
  <c r="D59" i="21"/>
  <c r="D58" i="21"/>
  <c r="D57" i="21"/>
  <c r="D64" i="21" s="1"/>
  <c r="I55" i="21"/>
  <c r="H55" i="21"/>
  <c r="G55" i="21"/>
  <c r="I54" i="21"/>
  <c r="C54" i="21"/>
  <c r="B54" i="21"/>
  <c r="I53" i="21"/>
  <c r="D53" i="21"/>
  <c r="I52" i="21"/>
  <c r="D52" i="21"/>
  <c r="I51" i="21"/>
  <c r="D51" i="21"/>
  <c r="D50" i="21"/>
  <c r="D49" i="21"/>
  <c r="D54" i="21" s="1"/>
  <c r="H48" i="21"/>
  <c r="G48" i="21"/>
  <c r="I47" i="21"/>
  <c r="I46" i="21"/>
  <c r="C46" i="21"/>
  <c r="B46" i="21"/>
  <c r="I45" i="21"/>
  <c r="I48" i="21" s="1"/>
  <c r="D45" i="21"/>
  <c r="D46" i="21" s="1"/>
  <c r="D44" i="21"/>
  <c r="D43" i="21"/>
  <c r="H42" i="21"/>
  <c r="G42" i="21"/>
  <c r="I41" i="21"/>
  <c r="I40" i="21"/>
  <c r="C40" i="21"/>
  <c r="B40" i="21"/>
  <c r="I39" i="21"/>
  <c r="I42" i="21" s="1"/>
  <c r="D39" i="21"/>
  <c r="D40" i="21" s="1"/>
  <c r="D38" i="21"/>
  <c r="D37" i="21"/>
  <c r="H36" i="21"/>
  <c r="G36" i="21"/>
  <c r="D36" i="21"/>
  <c r="I35" i="21"/>
  <c r="I34" i="21"/>
  <c r="I33" i="21"/>
  <c r="C33" i="21"/>
  <c r="B33" i="21"/>
  <c r="I32" i="21"/>
  <c r="I36" i="21" s="1"/>
  <c r="D32" i="21"/>
  <c r="D31" i="21"/>
  <c r="D30" i="21"/>
  <c r="H29" i="21"/>
  <c r="G29" i="21"/>
  <c r="D29" i="21"/>
  <c r="I28" i="21"/>
  <c r="D28" i="21"/>
  <c r="I27" i="21"/>
  <c r="D27" i="21"/>
  <c r="D33" i="21" s="1"/>
  <c r="I26" i="21"/>
  <c r="D26" i="21"/>
  <c r="I25" i="21"/>
  <c r="D25" i="21"/>
  <c r="I24" i="21"/>
  <c r="D24" i="21"/>
  <c r="I23" i="21"/>
  <c r="I29" i="21" s="1"/>
  <c r="C21" i="21"/>
  <c r="I59" i="21" s="1"/>
  <c r="B21" i="21"/>
  <c r="H20" i="21"/>
  <c r="G20" i="21"/>
  <c r="D20" i="21"/>
  <c r="I19" i="21"/>
  <c r="D19" i="21"/>
  <c r="I18" i="21"/>
  <c r="D18" i="21"/>
  <c r="I17" i="21"/>
  <c r="D17" i="21"/>
  <c r="I16" i="21"/>
  <c r="D16" i="21"/>
  <c r="I15" i="21"/>
  <c r="D15" i="21"/>
  <c r="D21" i="21" s="1"/>
  <c r="I14" i="21"/>
  <c r="D14" i="21"/>
  <c r="I13" i="21"/>
  <c r="D13" i="21"/>
  <c r="I12" i="21"/>
  <c r="D12" i="21"/>
  <c r="I11" i="21"/>
  <c r="I20" i="21" s="1"/>
  <c r="D11" i="21"/>
  <c r="D8" i="21"/>
  <c r="C64" i="20"/>
  <c r="B64" i="20"/>
  <c r="D63" i="20"/>
  <c r="D62" i="20"/>
  <c r="D61" i="20"/>
  <c r="D60" i="20"/>
  <c r="D59" i="20"/>
  <c r="D58" i="20"/>
  <c r="D57" i="20"/>
  <c r="D64" i="20" s="1"/>
  <c r="H55" i="20"/>
  <c r="G55" i="20"/>
  <c r="I54" i="20"/>
  <c r="C54" i="20"/>
  <c r="B54" i="20"/>
  <c r="I53" i="20"/>
  <c r="D53" i="20"/>
  <c r="I52" i="20"/>
  <c r="D52" i="20"/>
  <c r="I51" i="20"/>
  <c r="I55" i="20" s="1"/>
  <c r="D51" i="20"/>
  <c r="D54" i="20" s="1"/>
  <c r="D50" i="20"/>
  <c r="D49" i="20"/>
  <c r="H48" i="20"/>
  <c r="G48" i="20"/>
  <c r="I47" i="20"/>
  <c r="I46" i="20"/>
  <c r="D46" i="20"/>
  <c r="C46" i="20"/>
  <c r="B46" i="20"/>
  <c r="I45" i="20"/>
  <c r="I48" i="20" s="1"/>
  <c r="D45" i="20"/>
  <c r="D44" i="20"/>
  <c r="D43" i="20"/>
  <c r="H42" i="20"/>
  <c r="G42" i="20"/>
  <c r="I41" i="20"/>
  <c r="I40" i="20"/>
  <c r="D40" i="20"/>
  <c r="C40" i="20"/>
  <c r="B40" i="20"/>
  <c r="I39" i="20"/>
  <c r="I42" i="20" s="1"/>
  <c r="D39" i="20"/>
  <c r="D38" i="20"/>
  <c r="D37" i="20"/>
  <c r="H36" i="20"/>
  <c r="G36" i="20"/>
  <c r="D36" i="20"/>
  <c r="I35" i="20"/>
  <c r="I34" i="20"/>
  <c r="I33" i="20"/>
  <c r="C33" i="20"/>
  <c r="B33" i="20"/>
  <c r="I32" i="20"/>
  <c r="I36" i="20" s="1"/>
  <c r="D32" i="20"/>
  <c r="D31" i="20"/>
  <c r="D30" i="20"/>
  <c r="H29" i="20"/>
  <c r="G29" i="20"/>
  <c r="D29" i="20"/>
  <c r="I28" i="20"/>
  <c r="D28" i="20"/>
  <c r="D33" i="20" s="1"/>
  <c r="I27" i="20"/>
  <c r="D27" i="20"/>
  <c r="I26" i="20"/>
  <c r="D26" i="20"/>
  <c r="I25" i="20"/>
  <c r="D25" i="20"/>
  <c r="I24" i="20"/>
  <c r="D24" i="20"/>
  <c r="I23" i="20"/>
  <c r="C21" i="20"/>
  <c r="I59" i="20" s="1"/>
  <c r="B21" i="20"/>
  <c r="I57" i="20" s="1"/>
  <c r="I3" i="20" s="1"/>
  <c r="H20" i="20"/>
  <c r="G20" i="20"/>
  <c r="D20" i="20"/>
  <c r="I19" i="20"/>
  <c r="D19" i="20"/>
  <c r="I18" i="20"/>
  <c r="D18" i="20"/>
  <c r="I17" i="20"/>
  <c r="D17" i="20"/>
  <c r="I16" i="20"/>
  <c r="D16" i="20"/>
  <c r="D21" i="20" s="1"/>
  <c r="I15" i="20"/>
  <c r="D15" i="20"/>
  <c r="I14" i="20"/>
  <c r="D14" i="20"/>
  <c r="I13" i="20"/>
  <c r="D13" i="20"/>
  <c r="I12" i="20"/>
  <c r="D12" i="20"/>
  <c r="I11" i="20"/>
  <c r="I20" i="20" s="1"/>
  <c r="D11" i="20"/>
  <c r="D8" i="20"/>
  <c r="I5" i="20" s="1"/>
  <c r="C64" i="19"/>
  <c r="B64" i="19"/>
  <c r="D63" i="19"/>
  <c r="D62" i="19"/>
  <c r="D61" i="19"/>
  <c r="D60" i="19"/>
  <c r="D59" i="19"/>
  <c r="D58" i="19"/>
  <c r="D57" i="19"/>
  <c r="D64" i="19" s="1"/>
  <c r="H55" i="19"/>
  <c r="G55" i="19"/>
  <c r="I54" i="19"/>
  <c r="C54" i="19"/>
  <c r="B54" i="19"/>
  <c r="I53" i="19"/>
  <c r="D53" i="19"/>
  <c r="I52" i="19"/>
  <c r="I55" i="19" s="1"/>
  <c r="D52" i="19"/>
  <c r="I51" i="19"/>
  <c r="D51" i="19"/>
  <c r="D50" i="19"/>
  <c r="D49" i="19"/>
  <c r="D54" i="19" s="1"/>
  <c r="H48" i="19"/>
  <c r="G48" i="19"/>
  <c r="I47" i="19"/>
  <c r="I46" i="19"/>
  <c r="I48" i="19" s="1"/>
  <c r="C46" i="19"/>
  <c r="B46" i="19"/>
  <c r="I45" i="19"/>
  <c r="D45" i="19"/>
  <c r="D44" i="19"/>
  <c r="D43" i="19"/>
  <c r="D46" i="19" s="1"/>
  <c r="H42" i="19"/>
  <c r="G42" i="19"/>
  <c r="I41" i="19"/>
  <c r="I40" i="19"/>
  <c r="I42" i="19" s="1"/>
  <c r="D40" i="19"/>
  <c r="C40" i="19"/>
  <c r="B40" i="19"/>
  <c r="I39" i="19"/>
  <c r="D39" i="19"/>
  <c r="D38" i="19"/>
  <c r="D37" i="19"/>
  <c r="H36" i="19"/>
  <c r="G36" i="19"/>
  <c r="D36" i="19"/>
  <c r="I35" i="19"/>
  <c r="I34" i="19"/>
  <c r="I33" i="19"/>
  <c r="I36" i="19" s="1"/>
  <c r="C33" i="19"/>
  <c r="B33" i="19"/>
  <c r="I32" i="19"/>
  <c r="D32" i="19"/>
  <c r="D31" i="19"/>
  <c r="D30" i="19"/>
  <c r="H29" i="19"/>
  <c r="G29" i="19"/>
  <c r="D29" i="19"/>
  <c r="I28" i="19"/>
  <c r="D28" i="19"/>
  <c r="D33" i="19" s="1"/>
  <c r="I27" i="19"/>
  <c r="D27" i="19"/>
  <c r="I26" i="19"/>
  <c r="D26" i="19"/>
  <c r="I25" i="19"/>
  <c r="D25" i="19"/>
  <c r="I24" i="19"/>
  <c r="D24" i="19"/>
  <c r="I23" i="19"/>
  <c r="C21" i="19"/>
  <c r="I59" i="19" s="1"/>
  <c r="B21" i="19"/>
  <c r="H20" i="19"/>
  <c r="G20" i="19"/>
  <c r="D20" i="19"/>
  <c r="I19" i="19"/>
  <c r="D19" i="19"/>
  <c r="I18" i="19"/>
  <c r="D18" i="19"/>
  <c r="I17" i="19"/>
  <c r="D17" i="19"/>
  <c r="I16" i="19"/>
  <c r="D16" i="19"/>
  <c r="I15" i="19"/>
  <c r="D15" i="19"/>
  <c r="I14" i="19"/>
  <c r="D14" i="19"/>
  <c r="I13" i="19"/>
  <c r="D13" i="19"/>
  <c r="I12" i="19"/>
  <c r="D12" i="19"/>
  <c r="I11" i="19"/>
  <c r="I20" i="19" s="1"/>
  <c r="D11" i="19"/>
  <c r="D21" i="19" s="1"/>
  <c r="D8" i="19"/>
  <c r="C64" i="18"/>
  <c r="B64" i="18"/>
  <c r="D63" i="18"/>
  <c r="D62" i="18"/>
  <c r="D61" i="18"/>
  <c r="D60" i="18"/>
  <c r="D59" i="18"/>
  <c r="D58" i="18"/>
  <c r="D57" i="18"/>
  <c r="D64" i="18" s="1"/>
  <c r="H55" i="18"/>
  <c r="G55" i="18"/>
  <c r="I54" i="18"/>
  <c r="C54" i="18"/>
  <c r="B54" i="18"/>
  <c r="I53" i="18"/>
  <c r="D53" i="18"/>
  <c r="I52" i="18"/>
  <c r="D52" i="18"/>
  <c r="I51" i="18"/>
  <c r="I55" i="18" s="1"/>
  <c r="D51" i="18"/>
  <c r="D50" i="18"/>
  <c r="D49" i="18"/>
  <c r="D54" i="18" s="1"/>
  <c r="H48" i="18"/>
  <c r="G48" i="18"/>
  <c r="I47" i="18"/>
  <c r="I46" i="18"/>
  <c r="D46" i="18"/>
  <c r="C46" i="18"/>
  <c r="B46" i="18"/>
  <c r="I45" i="18"/>
  <c r="I48" i="18" s="1"/>
  <c r="D45" i="18"/>
  <c r="D44" i="18"/>
  <c r="D43" i="18"/>
  <c r="H42" i="18"/>
  <c r="G42" i="18"/>
  <c r="I41" i="18"/>
  <c r="I40" i="18"/>
  <c r="D40" i="18"/>
  <c r="C40" i="18"/>
  <c r="B40" i="18"/>
  <c r="I39" i="18"/>
  <c r="I42" i="18" s="1"/>
  <c r="D39" i="18"/>
  <c r="D38" i="18"/>
  <c r="D37" i="18"/>
  <c r="H36" i="18"/>
  <c r="G36" i="18"/>
  <c r="D36" i="18"/>
  <c r="I35" i="18"/>
  <c r="I34" i="18"/>
  <c r="I33" i="18"/>
  <c r="C33" i="18"/>
  <c r="B33" i="18"/>
  <c r="I32" i="18"/>
  <c r="I36" i="18" s="1"/>
  <c r="D32" i="18"/>
  <c r="D31" i="18"/>
  <c r="D30" i="18"/>
  <c r="H29" i="18"/>
  <c r="G29" i="18"/>
  <c r="D29" i="18"/>
  <c r="I28" i="18"/>
  <c r="D28" i="18"/>
  <c r="D33" i="18" s="1"/>
  <c r="I27" i="18"/>
  <c r="D27" i="18"/>
  <c r="I26" i="18"/>
  <c r="D26" i="18"/>
  <c r="I25" i="18"/>
  <c r="D25" i="18"/>
  <c r="I24" i="18"/>
  <c r="D24" i="18"/>
  <c r="I23" i="18"/>
  <c r="C21" i="18"/>
  <c r="I59" i="18" s="1"/>
  <c r="I5" i="18" s="1"/>
  <c r="B21" i="18"/>
  <c r="H20" i="18"/>
  <c r="G20" i="18"/>
  <c r="D20" i="18"/>
  <c r="I19" i="18"/>
  <c r="D19" i="18"/>
  <c r="I18" i="18"/>
  <c r="D18" i="18"/>
  <c r="I17" i="18"/>
  <c r="D17" i="18"/>
  <c r="I16" i="18"/>
  <c r="D16" i="18"/>
  <c r="I15" i="18"/>
  <c r="D15" i="18"/>
  <c r="I14" i="18"/>
  <c r="D14" i="18"/>
  <c r="I13" i="18"/>
  <c r="D13" i="18"/>
  <c r="I12" i="18"/>
  <c r="D12" i="18"/>
  <c r="I11" i="18"/>
  <c r="I20" i="18" s="1"/>
  <c r="D11" i="18"/>
  <c r="D21" i="18" s="1"/>
  <c r="D8" i="18"/>
  <c r="C64" i="17"/>
  <c r="B64" i="17"/>
  <c r="D63" i="17"/>
  <c r="D62" i="17"/>
  <c r="D61" i="17"/>
  <c r="D60" i="17"/>
  <c r="D59" i="17"/>
  <c r="D58" i="17"/>
  <c r="D57" i="17"/>
  <c r="D64" i="17" s="1"/>
  <c r="H55" i="17"/>
  <c r="G55" i="17"/>
  <c r="I54" i="17"/>
  <c r="C54" i="17"/>
  <c r="B54" i="17"/>
  <c r="I53" i="17"/>
  <c r="D53" i="17"/>
  <c r="I52" i="17"/>
  <c r="I55" i="17" s="1"/>
  <c r="D52" i="17"/>
  <c r="I51" i="17"/>
  <c r="D51" i="17"/>
  <c r="D50" i="17"/>
  <c r="D49" i="17"/>
  <c r="D54" i="17" s="1"/>
  <c r="H48" i="17"/>
  <c r="G48" i="17"/>
  <c r="I47" i="17"/>
  <c r="I46" i="17"/>
  <c r="I48" i="17" s="1"/>
  <c r="D46" i="17"/>
  <c r="C46" i="17"/>
  <c r="B46" i="17"/>
  <c r="I45" i="17"/>
  <c r="D45" i="17"/>
  <c r="D44" i="17"/>
  <c r="D43" i="17"/>
  <c r="H42" i="17"/>
  <c r="G42" i="17"/>
  <c r="I41" i="17"/>
  <c r="I40" i="17"/>
  <c r="I42" i="17" s="1"/>
  <c r="D40" i="17"/>
  <c r="C40" i="17"/>
  <c r="B40" i="17"/>
  <c r="I39" i="17"/>
  <c r="D39" i="17"/>
  <c r="D38" i="17"/>
  <c r="D37" i="17"/>
  <c r="H36" i="17"/>
  <c r="G36" i="17"/>
  <c r="D36" i="17"/>
  <c r="I35" i="17"/>
  <c r="I34" i="17"/>
  <c r="I33" i="17"/>
  <c r="D33" i="17"/>
  <c r="C33" i="17"/>
  <c r="B33" i="17"/>
  <c r="I32" i="17"/>
  <c r="I36" i="17" s="1"/>
  <c r="D32" i="17"/>
  <c r="D31" i="17"/>
  <c r="D30" i="17"/>
  <c r="H29" i="17"/>
  <c r="G29" i="17"/>
  <c r="D29" i="17"/>
  <c r="I28" i="17"/>
  <c r="D28" i="17"/>
  <c r="I27" i="17"/>
  <c r="D27" i="17"/>
  <c r="I26" i="17"/>
  <c r="D26" i="17"/>
  <c r="I25" i="17"/>
  <c r="D25" i="17"/>
  <c r="I24" i="17"/>
  <c r="D24" i="17"/>
  <c r="I23" i="17"/>
  <c r="I29" i="17" s="1"/>
  <c r="C21" i="17"/>
  <c r="I59" i="17" s="1"/>
  <c r="B21" i="17"/>
  <c r="H20" i="17"/>
  <c r="G20" i="17"/>
  <c r="D20" i="17"/>
  <c r="I19" i="17"/>
  <c r="D19" i="17"/>
  <c r="I18" i="17"/>
  <c r="D18" i="17"/>
  <c r="I17" i="17"/>
  <c r="D17" i="17"/>
  <c r="I16" i="17"/>
  <c r="D16" i="17"/>
  <c r="I15" i="17"/>
  <c r="D15" i="17"/>
  <c r="I14" i="17"/>
  <c r="D14" i="17"/>
  <c r="I13" i="17"/>
  <c r="D13" i="17"/>
  <c r="I12" i="17"/>
  <c r="D12" i="17"/>
  <c r="I11" i="17"/>
  <c r="I20" i="17" s="1"/>
  <c r="D11" i="17"/>
  <c r="D21" i="17" s="1"/>
  <c r="D8" i="17"/>
  <c r="I5" i="17" s="1"/>
  <c r="C64" i="16"/>
  <c r="B64" i="16"/>
  <c r="D63" i="16"/>
  <c r="D62" i="16"/>
  <c r="D61" i="16"/>
  <c r="D60" i="16"/>
  <c r="D59" i="16"/>
  <c r="D58" i="16"/>
  <c r="D57" i="16"/>
  <c r="D64" i="16" s="1"/>
  <c r="H55" i="16"/>
  <c r="G55" i="16"/>
  <c r="I54" i="16"/>
  <c r="C54" i="16"/>
  <c r="B54" i="16"/>
  <c r="I53" i="16"/>
  <c r="D53" i="16"/>
  <c r="I52" i="16"/>
  <c r="D52" i="16"/>
  <c r="D54" i="16" s="1"/>
  <c r="I51" i="16"/>
  <c r="I55" i="16" s="1"/>
  <c r="D51" i="16"/>
  <c r="D50" i="16"/>
  <c r="D49" i="16"/>
  <c r="H48" i="16"/>
  <c r="G48" i="16"/>
  <c r="I47" i="16"/>
  <c r="I46" i="16"/>
  <c r="D46" i="16"/>
  <c r="C46" i="16"/>
  <c r="B46" i="16"/>
  <c r="I45" i="16"/>
  <c r="I48" i="16" s="1"/>
  <c r="D45" i="16"/>
  <c r="D44" i="16"/>
  <c r="D43" i="16"/>
  <c r="H42" i="16"/>
  <c r="G42" i="16"/>
  <c r="I41" i="16"/>
  <c r="I40" i="16"/>
  <c r="I42" i="16" s="1"/>
  <c r="D40" i="16"/>
  <c r="C40" i="16"/>
  <c r="B40" i="16"/>
  <c r="I39" i="16"/>
  <c r="D39" i="16"/>
  <c r="D38" i="16"/>
  <c r="D37" i="16"/>
  <c r="H36" i="16"/>
  <c r="G36" i="16"/>
  <c r="D36" i="16"/>
  <c r="I35" i="16"/>
  <c r="I34" i="16"/>
  <c r="I36" i="16" s="1"/>
  <c r="I33" i="16"/>
  <c r="C33" i="16"/>
  <c r="B33" i="16"/>
  <c r="I32" i="16"/>
  <c r="D32" i="16"/>
  <c r="D31" i="16"/>
  <c r="D30" i="16"/>
  <c r="H29" i="16"/>
  <c r="G29" i="16"/>
  <c r="D29" i="16"/>
  <c r="I28" i="16"/>
  <c r="D28" i="16"/>
  <c r="D33" i="16" s="1"/>
  <c r="I27" i="16"/>
  <c r="D27" i="16"/>
  <c r="I26" i="16"/>
  <c r="D26" i="16"/>
  <c r="I25" i="16"/>
  <c r="D25" i="16"/>
  <c r="I24" i="16"/>
  <c r="D24" i="16"/>
  <c r="I23" i="16"/>
  <c r="C21" i="16"/>
  <c r="I59" i="16" s="1"/>
  <c r="B21" i="16"/>
  <c r="H20" i="16"/>
  <c r="G20" i="16"/>
  <c r="D20" i="16"/>
  <c r="I19" i="16"/>
  <c r="D19" i="16"/>
  <c r="I18" i="16"/>
  <c r="D18" i="16"/>
  <c r="I17" i="16"/>
  <c r="D17" i="16"/>
  <c r="I16" i="16"/>
  <c r="D16" i="16"/>
  <c r="D21" i="16" s="1"/>
  <c r="I15" i="16"/>
  <c r="D15" i="16"/>
  <c r="I14" i="16"/>
  <c r="D14" i="16"/>
  <c r="I13" i="16"/>
  <c r="D13" i="16"/>
  <c r="I12" i="16"/>
  <c r="D12" i="16"/>
  <c r="I11" i="16"/>
  <c r="I20" i="16" s="1"/>
  <c r="D11" i="16"/>
  <c r="D8" i="16"/>
  <c r="I5" i="16" s="1"/>
  <c r="C64" i="3"/>
  <c r="B64" i="3"/>
  <c r="D63" i="3"/>
  <c r="D62" i="3"/>
  <c r="D61" i="3"/>
  <c r="D60" i="3"/>
  <c r="D59" i="3"/>
  <c r="D58" i="3"/>
  <c r="D57" i="3"/>
  <c r="D64" i="3" s="1"/>
  <c r="H55" i="3"/>
  <c r="G55" i="3"/>
  <c r="I54" i="3"/>
  <c r="C54" i="3"/>
  <c r="B54" i="3"/>
  <c r="I53" i="3"/>
  <c r="D53" i="3"/>
  <c r="I52" i="3"/>
  <c r="D52" i="3"/>
  <c r="I51" i="3"/>
  <c r="I55" i="3" s="1"/>
  <c r="D51" i="3"/>
  <c r="D50" i="3"/>
  <c r="D54" i="3" s="1"/>
  <c r="D49" i="3"/>
  <c r="H48" i="3"/>
  <c r="G48" i="3"/>
  <c r="I47" i="3"/>
  <c r="I46" i="3"/>
  <c r="C46" i="3"/>
  <c r="B46" i="3"/>
  <c r="I45" i="3"/>
  <c r="D45" i="3"/>
  <c r="D44" i="3"/>
  <c r="D43" i="3"/>
  <c r="H42" i="3"/>
  <c r="G42" i="3"/>
  <c r="I41" i="3"/>
  <c r="I40" i="3"/>
  <c r="C40" i="3"/>
  <c r="B40" i="3"/>
  <c r="I39" i="3"/>
  <c r="I42" i="3" s="1"/>
  <c r="D39" i="3"/>
  <c r="D38" i="3"/>
  <c r="D37" i="3"/>
  <c r="D40" i="3" s="1"/>
  <c r="H36" i="3"/>
  <c r="G36" i="3"/>
  <c r="D36" i="3"/>
  <c r="I35" i="3"/>
  <c r="I34" i="3"/>
  <c r="I33" i="3"/>
  <c r="I36" i="3" s="1"/>
  <c r="C33" i="3"/>
  <c r="I59" i="3" s="1"/>
  <c r="B33" i="3"/>
  <c r="I32" i="3"/>
  <c r="D32" i="3"/>
  <c r="D31" i="3"/>
  <c r="D30" i="3"/>
  <c r="H29" i="3"/>
  <c r="G29" i="3"/>
  <c r="D29" i="3"/>
  <c r="I28" i="3"/>
  <c r="D28" i="3"/>
  <c r="I27" i="3"/>
  <c r="D27" i="3"/>
  <c r="I26" i="3"/>
  <c r="D26" i="3"/>
  <c r="I25" i="3"/>
  <c r="D25" i="3"/>
  <c r="I24" i="3"/>
  <c r="D24" i="3"/>
  <c r="I23" i="3"/>
  <c r="C21" i="3"/>
  <c r="B21" i="3"/>
  <c r="G20" i="3"/>
  <c r="H20" i="3"/>
  <c r="D20" i="3"/>
  <c r="I19" i="3"/>
  <c r="D19" i="3"/>
  <c r="I18" i="3"/>
  <c r="D18" i="3"/>
  <c r="I17" i="3"/>
  <c r="D17" i="3"/>
  <c r="I16" i="3"/>
  <c r="D16" i="3"/>
  <c r="I15" i="3"/>
  <c r="D15" i="3"/>
  <c r="I14" i="3"/>
  <c r="D14" i="3"/>
  <c r="I13" i="3"/>
  <c r="D13" i="3"/>
  <c r="I12" i="3"/>
  <c r="I20" i="3" s="1"/>
  <c r="D12" i="3"/>
  <c r="I11" i="3"/>
  <c r="D11" i="3"/>
  <c r="D8" i="3"/>
  <c r="I5" i="3" s="1"/>
  <c r="D46" i="3"/>
  <c r="I29" i="23" l="1"/>
  <c r="I61" i="23" s="1"/>
  <c r="I61" i="24"/>
  <c r="I7" i="24"/>
  <c r="I57" i="23"/>
  <c r="I3" i="23" s="1"/>
  <c r="I7" i="23" s="1"/>
  <c r="I57" i="22"/>
  <c r="I3" i="22" s="1"/>
  <c r="I57" i="21"/>
  <c r="I3" i="21" s="1"/>
  <c r="I29" i="20"/>
  <c r="I61" i="20" s="1"/>
  <c r="I57" i="19"/>
  <c r="I3" i="19" s="1"/>
  <c r="I29" i="19"/>
  <c r="I61" i="19" s="1"/>
  <c r="I29" i="18"/>
  <c r="I57" i="18"/>
  <c r="I3" i="18" s="1"/>
  <c r="I7" i="18" s="1"/>
  <c r="I61" i="18"/>
  <c r="I57" i="17"/>
  <c r="I3" i="17" s="1"/>
  <c r="I7" i="17" s="1"/>
  <c r="I61" i="17"/>
  <c r="I29" i="16"/>
  <c r="I57" i="16"/>
  <c r="I3" i="16" s="1"/>
  <c r="I7" i="16" s="1"/>
  <c r="I61" i="22"/>
  <c r="I5" i="22"/>
  <c r="I61" i="21"/>
  <c r="I5" i="21"/>
  <c r="I7" i="20"/>
  <c r="I5" i="19"/>
  <c r="I61" i="16"/>
  <c r="I29" i="3"/>
  <c r="I48" i="3"/>
  <c r="D33" i="3"/>
  <c r="D21" i="3"/>
  <c r="I57" i="3"/>
  <c r="I3" i="3" s="1"/>
  <c r="I7" i="3" s="1"/>
  <c r="I7" i="22" l="1"/>
  <c r="I7" i="21"/>
  <c r="I7" i="19"/>
  <c r="I61" i="3"/>
</calcChain>
</file>

<file path=xl/sharedStrings.xml><?xml version="1.0" encoding="utf-8"?>
<sst xmlns="http://schemas.openxmlformats.org/spreadsheetml/2006/main" count="1420" uniqueCount="82">
  <si>
    <t>Custo Projetado</t>
  </si>
  <si>
    <t>Custo Real</t>
  </si>
  <si>
    <t>Diferença</t>
  </si>
  <si>
    <t>Receita 1</t>
  </si>
  <si>
    <t>Hipoteca ou aluguel</t>
  </si>
  <si>
    <t>Telefone</t>
  </si>
  <si>
    <t>Gasolina</t>
  </si>
  <si>
    <t>Água e esgoto</t>
  </si>
  <si>
    <t>Cabo</t>
  </si>
  <si>
    <t>Remoção de lixo</t>
  </si>
  <si>
    <t>Manutenção ou consertos</t>
  </si>
  <si>
    <t>Suprimentos</t>
  </si>
  <si>
    <t>Outros</t>
  </si>
  <si>
    <t>Seguro</t>
  </si>
  <si>
    <t>Combustível</t>
  </si>
  <si>
    <t>Manutenção</t>
  </si>
  <si>
    <t>Casa</t>
  </si>
  <si>
    <t>Integridade</t>
  </si>
  <si>
    <t>Duração</t>
  </si>
  <si>
    <t>Comestíveis</t>
  </si>
  <si>
    <t>Alimentação</t>
  </si>
  <si>
    <t>Brinquedos</t>
  </si>
  <si>
    <t>Médico</t>
  </si>
  <si>
    <t>Aparência</t>
  </si>
  <si>
    <t>Vestuário</t>
  </si>
  <si>
    <t>Cabelo/unhas</t>
  </si>
  <si>
    <t>Academia</t>
  </si>
  <si>
    <t>Jantar fora</t>
  </si>
  <si>
    <t>Vídeo/DVD</t>
  </si>
  <si>
    <t>CDs</t>
  </si>
  <si>
    <t>Filmes</t>
  </si>
  <si>
    <t>Shows</t>
  </si>
  <si>
    <t>Teatro</t>
  </si>
  <si>
    <t>Lavagem a seco</t>
  </si>
  <si>
    <t>Federal</t>
  </si>
  <si>
    <t>Estado</t>
  </si>
  <si>
    <t>Local</t>
  </si>
  <si>
    <t>Advogado</t>
  </si>
  <si>
    <t>Pensão</t>
  </si>
  <si>
    <t>Estudante</t>
  </si>
  <si>
    <t>Orçamento Mensal Pessoal</t>
  </si>
  <si>
    <t>Receita extra</t>
  </si>
  <si>
    <t>Receita Mensal Total</t>
  </si>
  <si>
    <t>Caridade 3</t>
  </si>
  <si>
    <t>Pagamentos em garantia ou julgamento</t>
  </si>
  <si>
    <t>Tarifa de ônibus/táxi</t>
  </si>
  <si>
    <t>Eletricidade</t>
  </si>
  <si>
    <t>Eventos Esportivos</t>
  </si>
  <si>
    <t>Cartão de crédito</t>
  </si>
  <si>
    <t>Conta de aposentadoria</t>
  </si>
  <si>
    <t>Conta de investimento</t>
  </si>
  <si>
    <t>MORADIA</t>
  </si>
  <si>
    <t>ENTRETENIMENTO</t>
  </si>
  <si>
    <t>EMPRÉSTIMOS</t>
  </si>
  <si>
    <t>TRANSPORTE</t>
  </si>
  <si>
    <t>IMPOSTOS</t>
  </si>
  <si>
    <t>SEGURO</t>
  </si>
  <si>
    <t>ALIMENTAÇÃO</t>
  </si>
  <si>
    <t>ECONOMIAS OU INVESTIMENTOS</t>
  </si>
  <si>
    <t>PRESENTES E DOAÇÕES</t>
  </si>
  <si>
    <t>ANIMAIS DE ESTIMAÇÃO</t>
  </si>
  <si>
    <t>LEGAL</t>
  </si>
  <si>
    <t>CUIDADOS PESSOAIS</t>
  </si>
  <si>
    <t>RECEITA MENSAL REAL</t>
  </si>
  <si>
    <t>RECEITA MENSAL PROJETADA</t>
  </si>
  <si>
    <t>CUSTO TOTAL PROJETADO</t>
  </si>
  <si>
    <t>CUSTO REAL TOTAL</t>
  </si>
  <si>
    <t>DIFERENÇA TOTAL</t>
  </si>
  <si>
    <t>Total</t>
  </si>
  <si>
    <t>SALDO PROJETADO (Receita projetada menos despesas)</t>
  </si>
  <si>
    <t>SALDO REAL (Receita real menos despesas)</t>
  </si>
  <si>
    <t>DIFERENÇA (Real menos projetada)</t>
  </si>
  <si>
    <t>Pagamento da Van</t>
  </si>
  <si>
    <t>Unimed Vó</t>
  </si>
  <si>
    <t>Solidaris</t>
  </si>
  <si>
    <t>Licenciamento Moto</t>
  </si>
  <si>
    <t>Licenciamento  Carro</t>
  </si>
  <si>
    <t>Ipva Carro</t>
  </si>
  <si>
    <t>Ipva Moto</t>
  </si>
  <si>
    <t>Xandinho</t>
  </si>
  <si>
    <t>carro</t>
  </si>
  <si>
    <t>Unimed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</si>
</sst>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_);[Red]\(&quot;R$&quot;#,##0\)"/>
    <numFmt numFmtId="165" formatCode="&quot;R$&quot;#,##0"/>
    <numFmt numFmtId="166" formatCode="\$#,##0"/>
  </numFmts>
  <fonts count="7" x14ac:knownFonts="1"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26"/>
      <color indexed="63"/>
      <name val="Cambria"/>
      <family val="1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5" fontId="4" fillId="0" borderId="8" xfId="0" applyNumberFormat="1" applyFont="1" applyFill="1" applyBorder="1"/>
    <xf numFmtId="165" fontId="4" fillId="0" borderId="9" xfId="0" applyNumberFormat="1" applyFont="1" applyFill="1" applyBorder="1" applyAlignment="1">
      <alignment horizontal="right" vertical="center"/>
    </xf>
    <xf numFmtId="165" fontId="5" fillId="0" borderId="8" xfId="0" applyNumberFormat="1" applyFont="1" applyFill="1" applyBorder="1"/>
    <xf numFmtId="165" fontId="4" fillId="0" borderId="9" xfId="0" applyNumberFormat="1" applyFont="1" applyFill="1" applyBorder="1"/>
    <xf numFmtId="0" fontId="4" fillId="0" borderId="7" xfId="0" applyFont="1" applyFill="1" applyBorder="1" applyAlignment="1">
      <alignment shrinkToFit="1"/>
    </xf>
    <xf numFmtId="0" fontId="4" fillId="0" borderId="0" xfId="0" applyFont="1" applyFill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166" fontId="6" fillId="0" borderId="8" xfId="0" applyNumberFormat="1" applyFont="1" applyFill="1" applyBorder="1"/>
    <xf numFmtId="166" fontId="6" fillId="0" borderId="9" xfId="0" applyNumberFormat="1" applyFont="1" applyFill="1" applyBorder="1" applyAlignment="1">
      <alignment horizontal="right" vertical="center"/>
    </xf>
    <xf numFmtId="0" fontId="6" fillId="0" borderId="7" xfId="0" applyFont="1" applyFill="1" applyBorder="1"/>
    <xf numFmtId="165" fontId="6" fillId="0" borderId="8" xfId="0" applyNumberFormat="1" applyFont="1" applyFill="1" applyBorder="1"/>
    <xf numFmtId="165" fontId="6" fillId="0" borderId="9" xfId="0" applyNumberFormat="1" applyFont="1" applyFill="1" applyBorder="1"/>
    <xf numFmtId="0" fontId="4" fillId="0" borderId="0" xfId="0" applyFont="1" applyFill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shrinkToFit="1"/>
    </xf>
    <xf numFmtId="164" fontId="2" fillId="4" borderId="1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al" xfId="0" builtinId="0" customBuiltin="1"/>
  </cellStyles>
  <dxfs count="14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none"/>
      </font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none"/>
      </font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none"/>
      </font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none"/>
      </font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none"/>
      </font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none"/>
      </font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none"/>
      </font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name val="Calibri"/>
        <scheme val="none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95B3D7"/>
        </left>
        <right style="thin">
          <color rgb="FF95B3D7"/>
        </right>
        <top/>
        <bottom/>
      </border>
    </dxf>
    <dxf>
      <border diagonalUp="0" diagonalDown="0">
        <left/>
        <right/>
        <top style="thin">
          <color rgb="FF95B3D7"/>
        </top>
        <bottom style="thin">
          <color rgb="FF95B3D7"/>
        </bottom>
      </border>
    </dxf>
    <dxf>
      <font>
        <u val="none"/>
        <vertAlign val="baseline"/>
        <sz val="1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8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ge\r\a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R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18000000}" name="Tabela1134" displayName="Tabela1134" ref="A10:D21" totalsRowCount="1" headerRowDxfId="1439" dataDxfId="1438" totalsRowDxfId="1436" tableBorderDxfId="1437">
  <autoFilter ref="A10:D20" xr:uid="{00000000-0009-0000-0100-000085000000}"/>
  <tableColumns count="4">
    <tableColumn id="1" xr3:uid="{00000000-0010-0000-1800-000001000000}" name="MORADIA" totalsRowLabel="Total" dataDxfId="1435" totalsRowDxfId="1434"/>
    <tableColumn id="2" xr3:uid="{00000000-0010-0000-1800-000002000000}" name="Custo Projetado" totalsRowFunction="sum" dataDxfId="1433" totalsRowDxfId="1432"/>
    <tableColumn id="3" xr3:uid="{00000000-0010-0000-1800-000003000000}" name="Custo Real" totalsRowFunction="sum" dataDxfId="1431" totalsRowDxfId="1430"/>
    <tableColumn id="4" xr3:uid="{00000000-0010-0000-1800-000004000000}" name="Diferença" totalsRowFunction="sum" dataDxfId="1429" totalsRowDxfId="1428">
      <calculatedColumnFormula>Tabela1134[[#This Row],[Custo Projetado]]-Tabela1134[[#This Row],[Custo Real]]</calculatedColumnFormula>
    </tableColumn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21000000}" name="Tabela10143" displayName="Tabela10143" ref="F38:I42" totalsRowCount="1" headerRowDxfId="1331" dataDxfId="1330" totalsRowDxfId="1328" tableBorderDxfId="1329">
  <autoFilter ref="F38:I41" xr:uid="{00000000-0009-0000-0100-00008E000000}"/>
  <tableColumns count="4">
    <tableColumn id="1" xr3:uid="{00000000-0010-0000-2100-000001000000}" name="ECONOMIAS OU INVESTIMENTOS" totalsRowLabel="Total" dataDxfId="1327" totalsRowDxfId="1326"/>
    <tableColumn id="2" xr3:uid="{00000000-0010-0000-2100-000002000000}" name="Custo Projetado" totalsRowFunction="sum" dataDxfId="1325" totalsRowDxfId="1324"/>
    <tableColumn id="3" xr3:uid="{00000000-0010-0000-2100-000003000000}" name="Custo Real" totalsRowFunction="sum" dataDxfId="1323" totalsRowDxfId="1322"/>
    <tableColumn id="4" xr3:uid="{00000000-0010-0000-2100-000004000000}" name="Diferença" totalsRowFunction="sum" dataDxfId="1321" totalsRowDxfId="1320">
      <calculatedColumnFormula>Tabela10143[[#This Row],[Custo Projetado]]-Tabela10143[[#This Row],[Custo Real]]</calculatedColumnFormula>
    </tableColumn>
  </tableColumns>
  <tableStyleInfo name="TableStyleMedium23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6C5B165B-C06D-45D6-B0E2-0CDBDACFADE1}" name="Tabela613729415389149185197" displayName="Tabela613729415389149185197" ref="A48:D54" totalsRowCount="1" headerRowDxfId="435" dataDxfId="434" totalsRowDxfId="432" tableBorderDxfId="433">
  <autoFilter ref="A48:D53" xr:uid="{00000000-0009-0000-0100-000088000000}"/>
  <tableColumns count="4">
    <tableColumn id="1" xr3:uid="{FC7C927E-9F6E-4905-9AE1-234002807CC3}" name="ANIMAIS DE ESTIMAÇÃO" totalsRowLabel="Total" dataDxfId="431" totalsRowDxfId="430"/>
    <tableColumn id="2" xr3:uid="{851ECDFA-3B1E-46DA-B454-472EB7B10710}" name="Custo Projetado" totalsRowFunction="sum" dataDxfId="429" totalsRowDxfId="428"/>
    <tableColumn id="3" xr3:uid="{2B43E9C2-489A-4DD7-8424-C3AD3FB5CA47}" name="Custo Real" totalsRowFunction="sum" dataDxfId="427" totalsRowDxfId="426"/>
    <tableColumn id="4" xr3:uid="{F8D08162-0951-4B43-8F57-7CEA9515E3E1}" name="Diferença" totalsRowFunction="sum" dataDxfId="425" totalsRowDxfId="424">
      <calculatedColumnFormula>Tabela613729415389149185197[[#This Row],[Custo Projetado]]-Tabela613729415389149185197[[#This Row],[Custo Real]]</calculatedColumnFormula>
    </tableColumn>
  </tableColumns>
  <tableStyleInfo name="TableStyleMedium23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3D475576-D82D-4764-A5B3-88AB1196C65F}" name="Tabela1113830425490150186198" displayName="Tabela1113830425490150186198" ref="F44:I48" totalsRowCount="1" headerRowDxfId="423" dataDxfId="422" totalsRowDxfId="420" tableBorderDxfId="421">
  <autoFilter ref="F44:I47" xr:uid="{00000000-0009-0000-0100-000089000000}"/>
  <tableColumns count="4">
    <tableColumn id="1" xr3:uid="{D68AC61B-1DA0-4963-89D8-28D3CFCF495E}" name="PRESENTES E DOAÇÕES" totalsRowLabel="Total" dataDxfId="419" totalsRowDxfId="418"/>
    <tableColumn id="2" xr3:uid="{CA74464F-8268-445C-8717-756A73816CE3}" name="Custo Projetado" totalsRowFunction="sum" dataDxfId="417" totalsRowDxfId="416"/>
    <tableColumn id="3" xr3:uid="{B941A1A8-7382-49A2-B5B9-F067FB9E040F}" name="Custo Real" totalsRowFunction="sum" dataDxfId="415" totalsRowDxfId="414"/>
    <tableColumn id="4" xr3:uid="{69BA3F50-35D2-424B-A0C4-066F4819479D}" name="Diferença" totalsRowFunction="sum" dataDxfId="413" totalsRowDxfId="412">
      <calculatedColumnFormula>Tabela1113830425490150186198[[#This Row],[Custo Projetado]]-Tabela1113830425490150186198[[#This Row],[Custo Real]]</calculatedColumnFormula>
    </tableColumn>
  </tableColumns>
  <tableStyleInfo name="TableStyleMedium23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E7A4FEE1-34C6-4669-998B-4FE4F9403D25}" name="Tabela513931435591151187199" displayName="Tabela513931435591151187199" ref="A42:D46" totalsRowCount="1" headerRowDxfId="411" dataDxfId="410" totalsRowDxfId="408" tableBorderDxfId="409">
  <autoFilter ref="A42:D45" xr:uid="{00000000-0009-0000-0100-00008A000000}"/>
  <tableColumns count="4">
    <tableColumn id="1" xr3:uid="{5A5661A9-A4E1-4EFF-9E37-D1A771294240}" name="ALIMENTAÇÃO" totalsRowLabel="Total" dataDxfId="407" totalsRowDxfId="406"/>
    <tableColumn id="2" xr3:uid="{68717346-C71A-40E2-BA8F-85E27FB4E514}" name="Custo Projetado" totalsRowFunction="sum" dataDxfId="405" totalsRowDxfId="404"/>
    <tableColumn id="3" xr3:uid="{5FD5B901-8D81-4A1E-BC27-BFDBBAE4DEDA}" name="Custo Real" totalsRowFunction="sum" dataDxfId="403" totalsRowDxfId="402"/>
    <tableColumn id="4" xr3:uid="{020AA0DE-4121-4809-9EE8-5331CFE4E93B}" name="Diferença" totalsRowFunction="sum" dataDxfId="401" totalsRowDxfId="400">
      <calculatedColumnFormula>Tabela513931435591151187199[[#This Row],[Custo Projetado]]-Tabela513931435591151187199[[#This Row],[Custo Real]]</calculatedColumnFormula>
    </tableColumn>
  </tableColumns>
  <tableStyleInfo name="TableStyleMedium23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7612644E-70FB-4FA0-A689-112580C4A208}" name="Tabela914032445692152188200" displayName="Tabela914032445692152188200" ref="F31:I36" totalsRowCount="1" headerRowDxfId="399" dataDxfId="398" totalsRowDxfId="396" tableBorderDxfId="397">
  <autoFilter ref="F31:I35" xr:uid="{00000000-0009-0000-0100-00008B000000}"/>
  <tableColumns count="4">
    <tableColumn id="1" xr3:uid="{C740CFC1-2A34-40AA-97C7-FE2F69DF3238}" name="IMPOSTOS" totalsRowLabel="Total" dataDxfId="395" totalsRowDxfId="394"/>
    <tableColumn id="2" xr3:uid="{A93E7B85-A20C-4A9B-A481-6392E78E002C}" name="Custo Projetado" totalsRowFunction="sum" dataDxfId="393" totalsRowDxfId="392"/>
    <tableColumn id="3" xr3:uid="{C8C7CC6A-0398-4F17-9F33-4893AF8F9E40}" name="Custo Real" totalsRowFunction="sum" dataDxfId="391" totalsRowDxfId="390"/>
    <tableColumn id="4" xr3:uid="{C3A6F640-41A7-4351-B1F2-6B2F80E418E2}" name="Diferença" totalsRowFunction="sum" dataDxfId="389" totalsRowDxfId="388">
      <calculatedColumnFormula>Tabela914032445692152188200[[#This Row],[Custo Projetado]]-Tabela914032445692152188200[[#This Row],[Custo Real]]</calculatedColumnFormula>
    </tableColumn>
  </tableColumns>
  <tableStyleInfo name="TableStyleMedium23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6C158181-4112-4108-A3EA-5A9CD3A6948B}" name="Tabela314133455793153189201" displayName="Tabela314133455793153189201" ref="A23:D33" totalsRowCount="1" headerRowDxfId="387" dataDxfId="386" totalsRowDxfId="384" tableBorderDxfId="385">
  <autoFilter ref="A23:D32" xr:uid="{00000000-0009-0000-0100-00008C000000}"/>
  <tableColumns count="4">
    <tableColumn id="1" xr3:uid="{60AF1035-562D-4016-B555-6CCE5E6ED1FF}" name="TRANSPORTE" totalsRowLabel="Total" dataDxfId="383" totalsRowDxfId="382"/>
    <tableColumn id="2" xr3:uid="{7ADCAD5D-1F73-4F0B-8F9B-C07111161928}" name="Custo Projetado" totalsRowFunction="sum" dataDxfId="381" totalsRowDxfId="380"/>
    <tableColumn id="3" xr3:uid="{B48783B4-AD5B-45D7-89E3-99D06210B6B2}" name="Custo Real" totalsRowFunction="sum" dataDxfId="379" totalsRowDxfId="378"/>
    <tableColumn id="4" xr3:uid="{EE719387-D027-4D71-9DC9-2126CF9A6FD8}" name="Diferença" totalsRowFunction="sum" dataDxfId="377" totalsRowDxfId="376">
      <calculatedColumnFormula>Tabela314133455793153189201[[#This Row],[Custo Projetado]]-Tabela314133455793153189201[[#This Row],[Custo Real]]</calculatedColumnFormula>
    </tableColumn>
  </tableColumns>
  <tableStyleInfo name="TableStyleMedium23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9AB9F53E-B397-4197-A928-D592404124AD}" name="Tabela814234465894154190202" displayName="Tabela814234465894154190202" ref="F22:I29" totalsRowCount="1" headerRowDxfId="375" dataDxfId="374" totalsRowDxfId="372" tableBorderDxfId="373">
  <autoFilter ref="F22:I28" xr:uid="{00000000-0009-0000-0100-00008D000000}"/>
  <tableColumns count="4">
    <tableColumn id="1" xr3:uid="{7A00D9B7-A8CC-460B-AD74-60C39A4E1A37}" name="EMPRÉSTIMOS" totalsRowLabel="Total" dataDxfId="371" totalsRowDxfId="179"/>
    <tableColumn id="2" xr3:uid="{8EA56803-37B5-47B1-B4A7-2761237814F8}" name="Custo Projetado" totalsRowFunction="sum" dataDxfId="370" totalsRowDxfId="178"/>
    <tableColumn id="3" xr3:uid="{11282182-C90F-44B8-B13B-55535D212FB0}" name="Custo Real" totalsRowFunction="sum" dataDxfId="369" totalsRowDxfId="177"/>
    <tableColumn id="4" xr3:uid="{16F641BD-8557-4F27-8A05-E6778934A0B1}" name="Diferença" totalsRowFunction="sum" dataDxfId="368" totalsRowDxfId="176">
      <calculatedColumnFormula>Tabela814234465894154190202[[#This Row],[Custo Projetado]]-Tabela814234465894154190202[[#This Row],[Custo Real]]</calculatedColumnFormula>
    </tableColumn>
  </tableColumns>
  <tableStyleInfo name="TableStyleMedium23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FBD94DAA-CFF2-42C2-86E0-E0BA60D63126}" name="Tabela1014335475995155191203" displayName="Tabela1014335475995155191203" ref="F38:I42" totalsRowCount="1" headerRowDxfId="367" dataDxfId="366" totalsRowDxfId="364" tableBorderDxfId="365">
  <autoFilter ref="F38:I41" xr:uid="{00000000-0009-0000-0100-00008E000000}"/>
  <tableColumns count="4">
    <tableColumn id="1" xr3:uid="{B4615EF3-C365-469D-9191-182A5501A75E}" name="ECONOMIAS OU INVESTIMENTOS" totalsRowLabel="Total" dataDxfId="363" totalsRowDxfId="362"/>
    <tableColumn id="2" xr3:uid="{E6804D67-0344-4BE9-84BF-CC6BB7766896}" name="Custo Projetado" totalsRowFunction="sum" dataDxfId="361" totalsRowDxfId="360"/>
    <tableColumn id="3" xr3:uid="{FE9EF635-7711-4963-9FF7-66FED5626934}" name="Custo Real" totalsRowFunction="sum" dataDxfId="359" totalsRowDxfId="358"/>
    <tableColumn id="4" xr3:uid="{731A58AB-D8B9-4924-BD76-EFA908D274EC}" name="Diferença" totalsRowFunction="sum" dataDxfId="357" totalsRowDxfId="356">
      <calculatedColumnFormula>Tabela1014335475995155191203[[#This Row],[Custo Projetado]]-Tabela1014335475995155191203[[#This Row],[Custo Real]]</calculatedColumnFormula>
    </tableColumn>
  </tableColumns>
  <tableStyleInfo name="TableStyleMedium23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C1040D42-EA93-4884-B8A5-B6E72900160C}" name="Tabela714436486096156192204" displayName="Tabela714436486096156192204" ref="A56:D64" totalsRowCount="1" headerRowDxfId="355" dataDxfId="354" totalsRowDxfId="352" tableBorderDxfId="353">
  <autoFilter ref="A56:D63" xr:uid="{00000000-0009-0000-0100-00008F000000}"/>
  <tableColumns count="4">
    <tableColumn id="1" xr3:uid="{DAF8BAB5-C38E-4828-9733-21F1E6C6B8CF}" name="CUIDADOS PESSOAIS" totalsRowLabel="Total" dataDxfId="351" totalsRowDxfId="350"/>
    <tableColumn id="2" xr3:uid="{ED098967-CD80-4299-8A3D-8C08B356516A}" name="Custo Projetado" totalsRowFunction="sum" dataDxfId="349" totalsRowDxfId="348"/>
    <tableColumn id="3" xr3:uid="{2489C03A-435D-4865-9E7A-6D4254A815CF}" name="Custo Real" totalsRowFunction="sum" dataDxfId="347" totalsRowDxfId="346"/>
    <tableColumn id="4" xr3:uid="{10D4BEEE-C5DE-4B98-ABFC-6E83EDB71191}" name="Diferença" totalsRowFunction="sum" dataDxfId="345" totalsRowDxfId="344">
      <calculatedColumnFormula>Tabela714436486096156192204[[#This Row],[Custo Projetado]]-Tabela714436486096156192204[[#This Row],[Custo Real]]</calculatedColumnFormula>
    </tableColumn>
  </tableColumns>
  <tableStyleInfo name="TableStyleMedium23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3C6D6B6E-3BFE-4559-BC19-69BBC5A91158}" name="Tabela214537496197157193205" displayName="Tabela214537496197157193205" ref="F10:I20" totalsRowCount="1" headerRowDxfId="343" dataDxfId="342" totalsRowDxfId="340" tableBorderDxfId="341">
  <autoFilter ref="F10:I19" xr:uid="{00000000-0009-0000-0100-000090000000}"/>
  <tableColumns count="4">
    <tableColumn id="1" xr3:uid="{978B8FE7-54A5-4F31-BCA6-531F2AD27887}" name="ENTRETENIMENTO" totalsRowLabel="Total" dataDxfId="339" totalsRowDxfId="338"/>
    <tableColumn id="2" xr3:uid="{6E9BDB6C-AAE3-482F-8B47-E4F7AEDCC90E}" name="Custo Projetado" totalsRowFunction="sum" dataDxfId="337" totalsRowDxfId="336"/>
    <tableColumn id="3" xr3:uid="{06F19D98-D865-4F06-80C0-F8AC94B94CCB}" name="Custo Real" totalsRowFunction="sum" dataDxfId="335" totalsRowDxfId="334"/>
    <tableColumn id="4" xr3:uid="{8776DB57-6647-4A73-89B5-17AC43491FEE}" name="Diferença" totalsRowFunction="sum" dataDxfId="333" totalsRowDxfId="332">
      <calculatedColumnFormula>Tabela214537496197157193205[[#This Row],[Custo Projetado]]-Tabela214537496197157193205[[#This Row],[Custo Real]]</calculatedColumnFormula>
    </tableColumn>
  </tableColumns>
  <tableStyleInfo name="TableStyleMedium23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99BB1C-7737-43FC-ABA5-AF504D9B264A}" name="Tabela1134263850861461821942" displayName="Tabela1134263850861461821942" ref="A10:D21" totalsRowCount="1" headerRowDxfId="315" dataDxfId="314" totalsRowDxfId="313" tableBorderDxfId="312">
  <autoFilter ref="A10:D20" xr:uid="{00000000-0009-0000-0100-000085000000}"/>
  <tableColumns count="4">
    <tableColumn id="1" xr3:uid="{2B7FE8CE-FC4B-4ADF-9539-58C0ECD76E1F}" name="MORADIA" totalsRowLabel="Total" dataDxfId="311" totalsRowDxfId="3"/>
    <tableColumn id="2" xr3:uid="{6EB0E716-5DDC-420E-AA8C-5F2A5D4407A1}" name="Custo Projetado" totalsRowFunction="sum" dataDxfId="310" totalsRowDxfId="2"/>
    <tableColumn id="3" xr3:uid="{20864918-72EB-4A1B-AC1B-EA21C01E4559}" name="Custo Real" totalsRowFunction="sum" dataDxfId="309" totalsRowDxfId="1"/>
    <tableColumn id="4" xr3:uid="{62A7D2E5-82B9-42FA-9056-7E98E95C7632}" name="Diferença" totalsRowFunction="sum" dataDxfId="308" totalsRowDxfId="0">
      <calculatedColumnFormula>Tabela1134263850861461821942[[#This Row],[Custo Projetado]]-Tabela1134263850861461821942[[#This Row],[Custo Real]]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22000000}" name="Tabela7144" displayName="Tabela7144" ref="A56:D64" totalsRowCount="1" headerRowDxfId="1319" dataDxfId="1318" totalsRowDxfId="1316" tableBorderDxfId="1317">
  <autoFilter ref="A56:D63" xr:uid="{00000000-0009-0000-0100-00008F000000}"/>
  <tableColumns count="4">
    <tableColumn id="1" xr3:uid="{00000000-0010-0000-2200-000001000000}" name="CUIDADOS PESSOAIS" totalsRowLabel="Total" dataDxfId="1315" totalsRowDxfId="1314"/>
    <tableColumn id="2" xr3:uid="{00000000-0010-0000-2200-000002000000}" name="Custo Projetado" totalsRowFunction="sum" dataDxfId="1313" totalsRowDxfId="1312"/>
    <tableColumn id="3" xr3:uid="{00000000-0010-0000-2200-000003000000}" name="Custo Real" totalsRowFunction="sum" dataDxfId="1311" totalsRowDxfId="1310"/>
    <tableColumn id="4" xr3:uid="{00000000-0010-0000-2200-000004000000}" name="Diferença" totalsRowFunction="sum" dataDxfId="1309" totalsRowDxfId="1308">
      <calculatedColumnFormula>Tabela7144[[#This Row],[Custo Projetado]]-Tabela7144[[#This Row],[Custo Real]]</calculatedColumnFormula>
    </tableColumn>
  </tableColumns>
  <tableStyleInfo name="TableStyleMedium23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903CEA-A342-4EA0-A6C6-208BFEC79CDF}" name="Tabela4135273951871471831953" displayName="Tabela4135273951871471831953" ref="A35:D40" totalsRowCount="1" headerRowDxfId="307" dataDxfId="306" totalsRowDxfId="305" tableBorderDxfId="304">
  <autoFilter ref="A35:D39" xr:uid="{00000000-0009-0000-0100-000086000000}"/>
  <tableColumns count="4">
    <tableColumn id="1" xr3:uid="{5F419FD4-9A8C-4208-9DF9-23DCC43C06E1}" name="SEGURO" totalsRowLabel="Total" dataDxfId="302" totalsRowDxfId="303"/>
    <tableColumn id="2" xr3:uid="{933342C6-27C2-4F5B-8DC1-3CC9B98B24C4}" name="Custo Projetado" totalsRowFunction="sum" dataDxfId="300" totalsRowDxfId="301"/>
    <tableColumn id="3" xr3:uid="{DA17BC4D-CFEA-426B-ABE1-33D3A7916041}" name="Custo Real" totalsRowFunction="sum" dataDxfId="298" totalsRowDxfId="299"/>
    <tableColumn id="4" xr3:uid="{1398D426-E297-482C-9DC5-9C75723D8F98}" name="Diferença" totalsRowFunction="sum" dataDxfId="296" totalsRowDxfId="297">
      <calculatedColumnFormula>Tabela4135273951871471831953[[#This Row],[Custo Projetado]]-Tabela4135273951871471831953[[#This Row],[Custo Real]]</calculatedColumnFormula>
    </tableColumn>
  </tableColumns>
  <tableStyleInfo name="TableStyleMedium23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5A2107-FF29-421F-AADE-72154FEBCC3D}" name="Tabela12136284052881481841964" displayName="Tabela12136284052881481841964" ref="F50:I55" totalsRowCount="1" headerRowDxfId="295" dataDxfId="294" totalsRowDxfId="293" tableBorderDxfId="292">
  <autoFilter ref="F50:I54" xr:uid="{00000000-0009-0000-0100-000087000000}"/>
  <tableColumns count="4">
    <tableColumn id="1" xr3:uid="{75322375-C2E8-4C37-9375-3CF3651449CE}" name="LEGAL" totalsRowLabel="Total" dataDxfId="290" totalsRowDxfId="291"/>
    <tableColumn id="2" xr3:uid="{A49DDE1B-4686-41E9-B57D-F8673B958CB2}" name="Custo Projetado" totalsRowFunction="sum" dataDxfId="288" totalsRowDxfId="289"/>
    <tableColumn id="3" xr3:uid="{BC76A217-FA99-4F40-9867-1140CFF04163}" name="Custo Real" totalsRowFunction="sum" dataDxfId="286" totalsRowDxfId="287"/>
    <tableColumn id="4" xr3:uid="{6B8A6975-ED59-4EBE-B04D-1A5F77C2CD13}" name="Diferença" totalsRowFunction="sum" dataDxfId="284" totalsRowDxfId="285">
      <calculatedColumnFormula>Tabela12136284052881481841964[[#This Row],[Custo Projetado]]-Tabela12136284052881481841964[[#This Row],[Custo Real]]</calculatedColumnFormula>
    </tableColumn>
  </tableColumns>
  <tableStyleInfo name="TableStyleMedium23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F80426-7F0C-4C8E-98C9-734C5D9F26FC}" name="Tabela6137294153891491851975" displayName="Tabela6137294153891491851975" ref="A48:D54" totalsRowCount="1" headerRowDxfId="283" dataDxfId="282" totalsRowDxfId="281" tableBorderDxfId="280">
  <autoFilter ref="A48:D53" xr:uid="{00000000-0009-0000-0100-000088000000}"/>
  <tableColumns count="4">
    <tableColumn id="1" xr3:uid="{31553FF6-E080-494D-B50C-BA3283F7318A}" name="ANIMAIS DE ESTIMAÇÃO" totalsRowLabel="Total" dataDxfId="278" totalsRowDxfId="279"/>
    <tableColumn id="2" xr3:uid="{C538DA7F-FC6D-4FDF-85E6-3B9F07F87BD4}" name="Custo Projetado" totalsRowFunction="sum" dataDxfId="276" totalsRowDxfId="277"/>
    <tableColumn id="3" xr3:uid="{AC142759-CD67-4DAC-AFBA-8C53D0799345}" name="Custo Real" totalsRowFunction="sum" dataDxfId="274" totalsRowDxfId="275"/>
    <tableColumn id="4" xr3:uid="{EAB55475-F003-418C-96B6-088067130495}" name="Diferença" totalsRowFunction="sum" dataDxfId="272" totalsRowDxfId="273">
      <calculatedColumnFormula>Tabela6137294153891491851975[[#This Row],[Custo Projetado]]-Tabela6137294153891491851975[[#This Row],[Custo Real]]</calculatedColumnFormula>
    </tableColumn>
  </tableColumns>
  <tableStyleInfo name="TableStyleMedium23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68E3EA-1A62-4CB3-90CC-26B5E1DE212B}" name="Tabela11138304254901501861986" displayName="Tabela11138304254901501861986" ref="F44:I48" totalsRowCount="1" headerRowDxfId="271" dataDxfId="270" totalsRowDxfId="269" tableBorderDxfId="268">
  <autoFilter ref="F44:I47" xr:uid="{00000000-0009-0000-0100-000089000000}"/>
  <tableColumns count="4">
    <tableColumn id="1" xr3:uid="{3748E863-B27B-44EC-BA52-ED73B696BBEC}" name="PRESENTES E DOAÇÕES" totalsRowLabel="Total" dataDxfId="266" totalsRowDxfId="267"/>
    <tableColumn id="2" xr3:uid="{A2E97C09-CCAD-4542-9BE5-CB615823947B}" name="Custo Projetado" totalsRowFunction="sum" dataDxfId="264" totalsRowDxfId="265"/>
    <tableColumn id="3" xr3:uid="{B9BB238D-3B18-4AFA-ADF1-981CF0678A5D}" name="Custo Real" totalsRowFunction="sum" dataDxfId="262" totalsRowDxfId="263"/>
    <tableColumn id="4" xr3:uid="{213DA263-C95D-4FAB-9E2E-739297CBD8CD}" name="Diferença" totalsRowFunction="sum" dataDxfId="260" totalsRowDxfId="261">
      <calculatedColumnFormula>Tabela11138304254901501861986[[#This Row],[Custo Projetado]]-Tabela11138304254901501861986[[#This Row],[Custo Real]]</calculatedColumnFormula>
    </tableColumn>
  </tableColumns>
  <tableStyleInfo name="TableStyleMedium23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3FB887-1DAB-49B5-8362-45D6B5E27A04}" name="Tabela5139314355911511871997" displayName="Tabela5139314355911511871997" ref="A42:D46" totalsRowCount="1" headerRowDxfId="259" dataDxfId="258" totalsRowDxfId="257" tableBorderDxfId="256">
  <autoFilter ref="A42:D45" xr:uid="{00000000-0009-0000-0100-00008A000000}"/>
  <tableColumns count="4">
    <tableColumn id="1" xr3:uid="{8D2A02EA-09AE-4D89-B484-B41529669B55}" name="ALIMENTAÇÃO" totalsRowLabel="Total" dataDxfId="254" totalsRowDxfId="255"/>
    <tableColumn id="2" xr3:uid="{47A3C408-7028-4C4D-AC23-E85A58B46FE9}" name="Custo Projetado" totalsRowFunction="sum" dataDxfId="252" totalsRowDxfId="253"/>
    <tableColumn id="3" xr3:uid="{6C687D8E-65CF-40A9-8D7D-50951AEF1325}" name="Custo Real" totalsRowFunction="sum" dataDxfId="250" totalsRowDxfId="251"/>
    <tableColumn id="4" xr3:uid="{5BEED034-8FB4-4E8A-8F2C-A0F90DEB4BA7}" name="Diferença" totalsRowFunction="sum" dataDxfId="248" totalsRowDxfId="249">
      <calculatedColumnFormula>Tabela5139314355911511871997[[#This Row],[Custo Projetado]]-Tabela5139314355911511871997[[#This Row],[Custo Real]]</calculatedColumnFormula>
    </tableColumn>
  </tableColumns>
  <tableStyleInfo name="TableStyleMedium23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643C1FF-6820-4022-8DF0-2EC11D3F4DBD}" name="Tabela9140324456921521882008" displayName="Tabela9140324456921521882008" ref="F31:I36" totalsRowCount="1" headerRowDxfId="247" dataDxfId="246" totalsRowDxfId="245" tableBorderDxfId="244">
  <autoFilter ref="F31:I35" xr:uid="{00000000-0009-0000-0100-00008B000000}"/>
  <tableColumns count="4">
    <tableColumn id="1" xr3:uid="{3B1BF6A2-3E9D-4983-A062-F5818848B840}" name="IMPOSTOS" totalsRowLabel="Total" dataDxfId="242" totalsRowDxfId="243"/>
    <tableColumn id="2" xr3:uid="{34B439D5-8CB0-400F-BEE3-CE73BE5C7631}" name="Custo Projetado" totalsRowFunction="sum" dataDxfId="240" totalsRowDxfId="241"/>
    <tableColumn id="3" xr3:uid="{FA29614B-A2AA-4B67-B03F-B839ADA7F302}" name="Custo Real" totalsRowFunction="sum" dataDxfId="238" totalsRowDxfId="239"/>
    <tableColumn id="4" xr3:uid="{8006EE98-E207-4CB4-BA25-6C6AAD536023}" name="Diferença" totalsRowFunction="sum" dataDxfId="236" totalsRowDxfId="237">
      <calculatedColumnFormula>Tabela9140324456921521882008[[#This Row],[Custo Projetado]]-Tabela9140324456921521882008[[#This Row],[Custo Real]]</calculatedColumnFormula>
    </tableColumn>
  </tableColumns>
  <tableStyleInfo name="TableStyleMedium23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5E57331-FF6F-4EFE-B407-65387BA85241}" name="Tabela3141334557931531892019" displayName="Tabela3141334557931531892019" ref="A23:D33" totalsRowCount="1" headerRowDxfId="235" dataDxfId="234" totalsRowDxfId="233" tableBorderDxfId="232">
  <autoFilter ref="A23:D32" xr:uid="{00000000-0009-0000-0100-00008C000000}"/>
  <tableColumns count="4">
    <tableColumn id="1" xr3:uid="{A29599EC-0D58-45A7-A544-F192A981EC9E}" name="TRANSPORTE" totalsRowLabel="Total" dataDxfId="230" totalsRowDxfId="231"/>
    <tableColumn id="2" xr3:uid="{E109A33D-922C-442E-B4AD-C0139D6DAFF2}" name="Custo Projetado" totalsRowFunction="sum" dataDxfId="228" totalsRowDxfId="229"/>
    <tableColumn id="3" xr3:uid="{2888814D-2FF9-4913-82D9-BB01460AA20F}" name="Custo Real" totalsRowFunction="sum" dataDxfId="226" totalsRowDxfId="227"/>
    <tableColumn id="4" xr3:uid="{0F8CE948-87E8-404A-8471-398996D6C030}" name="Diferença" totalsRowFunction="sum" dataDxfId="224" totalsRowDxfId="225">
      <calculatedColumnFormula>Tabela3141334557931531892019[[#This Row],[Custo Projetado]]-Tabela3141334557931531892019[[#This Row],[Custo Real]]</calculatedColumnFormula>
    </tableColumn>
  </tableColumns>
  <tableStyleInfo name="TableStyleMedium23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B50D06-53A2-43AA-AB5D-F60CABDFEC1F}" name="Tabela81423446589415419020210" displayName="Tabela81423446589415419020210" ref="F22:I29" totalsRowCount="1" headerRowDxfId="223" dataDxfId="222" totalsRowDxfId="221" tableBorderDxfId="220">
  <autoFilter ref="F22:I28" xr:uid="{00000000-0009-0000-0100-00008D000000}"/>
  <tableColumns count="4">
    <tableColumn id="1" xr3:uid="{CBC14BF5-13C7-435F-8BAE-95F8E4DAAAF6}" name="EMPRÉSTIMOS" totalsRowLabel="Total" dataDxfId="219" totalsRowDxfId="27"/>
    <tableColumn id="2" xr3:uid="{73042C0D-47D7-4D57-B51C-A076C6D89A00}" name="Custo Projetado" totalsRowFunction="sum" dataDxfId="218" totalsRowDxfId="26"/>
    <tableColumn id="3" xr3:uid="{E49086AC-8D1B-47EA-BC89-14CC0E34D384}" name="Custo Real" totalsRowFunction="sum" dataDxfId="217" totalsRowDxfId="25"/>
    <tableColumn id="4" xr3:uid="{AA307A87-1758-43F1-B40F-E09AB4CB2DF5}" name="Diferença" totalsRowFunction="sum" dataDxfId="216" totalsRowDxfId="24">
      <calculatedColumnFormula>Tabela81423446589415419020210[[#This Row],[Custo Projetado]]-Tabela81423446589415419020210[[#This Row],[Custo Real]]</calculatedColumnFormula>
    </tableColumn>
  </tableColumns>
  <tableStyleInfo name="TableStyleMedium23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2621E6F-D949-4AE3-83F6-D324F7E8173E}" name="Tabela101433547599515519120311" displayName="Tabela101433547599515519120311" ref="F38:I42" totalsRowCount="1" headerRowDxfId="215" dataDxfId="214" totalsRowDxfId="213" tableBorderDxfId="212">
  <autoFilter ref="F38:I41" xr:uid="{00000000-0009-0000-0100-00008E000000}"/>
  <tableColumns count="4">
    <tableColumn id="1" xr3:uid="{1CA72E55-56E3-4368-B434-5E01430453A1}" name="ECONOMIAS OU INVESTIMENTOS" totalsRowLabel="Total" dataDxfId="210" totalsRowDxfId="211"/>
    <tableColumn id="2" xr3:uid="{DCFEF1E0-DEDF-4073-BEC9-696958C59954}" name="Custo Projetado" totalsRowFunction="sum" dataDxfId="208" totalsRowDxfId="209"/>
    <tableColumn id="3" xr3:uid="{A440B02E-76F8-496D-9E28-5EED93EB5EF4}" name="Custo Real" totalsRowFunction="sum" dataDxfId="206" totalsRowDxfId="207"/>
    <tableColumn id="4" xr3:uid="{1B8B329E-4383-4E69-9596-0A0338DBD41B}" name="Diferença" totalsRowFunction="sum" dataDxfId="204" totalsRowDxfId="205">
      <calculatedColumnFormula>Tabela101433547599515519120311[[#This Row],[Custo Projetado]]-Tabela101433547599515519120311[[#This Row],[Custo Real]]</calculatedColumnFormula>
    </tableColumn>
  </tableColumns>
  <tableStyleInfo name="TableStyleMedium23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5679851-0030-4BA5-BFC2-49A393D2EFF1}" name="Tabela71443648609615619220412" displayName="Tabela71443648609615619220412" ref="A56:D64" totalsRowCount="1" headerRowDxfId="203" dataDxfId="202" totalsRowDxfId="201" tableBorderDxfId="200">
  <autoFilter ref="A56:D63" xr:uid="{00000000-0009-0000-0100-00008F000000}"/>
  <tableColumns count="4">
    <tableColumn id="1" xr3:uid="{369925FA-E5E2-4FD5-BFD5-0B5FEB889F3A}" name="CUIDADOS PESSOAIS" totalsRowLabel="Total" dataDxfId="198" totalsRowDxfId="199"/>
    <tableColumn id="2" xr3:uid="{A0409F37-4491-458B-A0EF-FFBD0942D107}" name="Custo Projetado" totalsRowFunction="sum" dataDxfId="196" totalsRowDxfId="197"/>
    <tableColumn id="3" xr3:uid="{DB6410F8-6415-43C0-B176-953A8CDB4B27}" name="Custo Real" totalsRowFunction="sum" dataDxfId="194" totalsRowDxfId="195"/>
    <tableColumn id="4" xr3:uid="{8F5B48DB-E4EF-4F50-A68E-9391DDFD97E6}" name="Diferença" totalsRowFunction="sum" dataDxfId="192" totalsRowDxfId="193">
      <calculatedColumnFormula>Tabela71443648609615619220412[[#This Row],[Custo Projetado]]-Tabela71443648609615619220412[[#This Row],[Custo Real]]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23000000}" name="Tabela2145" displayName="Tabela2145" ref="F10:I20" totalsRowCount="1" headerRowDxfId="1307" dataDxfId="1306" totalsRowDxfId="1304" tableBorderDxfId="1305">
  <autoFilter ref="F10:I19" xr:uid="{00000000-0009-0000-0100-000090000000}"/>
  <tableColumns count="4">
    <tableColumn id="1" xr3:uid="{00000000-0010-0000-2300-000001000000}" name="ENTRETENIMENTO" totalsRowLabel="Total" dataDxfId="1303" totalsRowDxfId="1302"/>
    <tableColumn id="2" xr3:uid="{00000000-0010-0000-2300-000002000000}" name="Custo Projetado" totalsRowFunction="sum" dataDxfId="1301" totalsRowDxfId="1300"/>
    <tableColumn id="3" xr3:uid="{00000000-0010-0000-2300-000003000000}" name="Custo Real" totalsRowFunction="sum" dataDxfId="1299" totalsRowDxfId="1298"/>
    <tableColumn id="4" xr3:uid="{00000000-0010-0000-2300-000004000000}" name="Diferença" totalsRowFunction="sum" dataDxfId="1297" totalsRowDxfId="1296">
      <calculatedColumnFormula>Tabela2145[[#This Row],[Custo Projetado]]-Tabela2145[[#This Row],[Custo Real]]</calculatedColumnFormula>
    </tableColumn>
  </tableColumns>
  <tableStyleInfo name="TableStyleMedium23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F9DFFEF-F189-4CDB-991A-B0A591663F4F}" name="Tabela21453749619715719320513" displayName="Tabela21453749619715719320513" ref="F10:I20" totalsRowCount="1" headerRowDxfId="191" dataDxfId="190" totalsRowDxfId="189" tableBorderDxfId="188">
  <autoFilter ref="F10:I19" xr:uid="{00000000-0009-0000-0100-000090000000}"/>
  <tableColumns count="4">
    <tableColumn id="1" xr3:uid="{C5ECC483-12F8-4EF1-8DAF-FE15AFC8ED88}" name="ENTRETENIMENTO" totalsRowLabel="Total" dataDxfId="186" totalsRowDxfId="187"/>
    <tableColumn id="2" xr3:uid="{707068BA-AB05-43DD-AC71-FC97F11FC28A}" name="Custo Projetado" totalsRowFunction="sum" dataDxfId="184" totalsRowDxfId="185"/>
    <tableColumn id="3" xr3:uid="{92F094D7-C446-4CE5-A2C3-C27158ABB794}" name="Custo Real" totalsRowFunction="sum" dataDxfId="182" totalsRowDxfId="183"/>
    <tableColumn id="4" xr3:uid="{5F2D0B64-920F-4000-AC4C-28AB479CE348}" name="Diferença" totalsRowFunction="sum" dataDxfId="180" totalsRowDxfId="181">
      <calculatedColumnFormula>Tabela21453749619715719320513[[#This Row],[Custo Projetado]]-Tabela21453749619715719320513[[#This Row],[Custo Real]]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7CA86E6-61B0-4F98-9704-75EBD891F809}" name="Tabela113426" displayName="Tabela113426" ref="A10:D21" totalsRowCount="1" headerRowDxfId="1295" dataDxfId="1294" totalsRowDxfId="1292" tableBorderDxfId="1293">
  <autoFilter ref="A10:D20" xr:uid="{00000000-0009-0000-0100-000085000000}"/>
  <tableColumns count="4">
    <tableColumn id="1" xr3:uid="{5C5F297A-C585-4D0A-BAF1-295A2F1ABBB9}" name="MORADIA" totalsRowLabel="Total" dataDxfId="1291" totalsRowDxfId="1290"/>
    <tableColumn id="2" xr3:uid="{F901E19D-88C8-4FA8-9FC6-C804873066E4}" name="Custo Projetado" totalsRowFunction="sum" dataDxfId="1289" totalsRowDxfId="1288"/>
    <tableColumn id="3" xr3:uid="{AEDCAA6F-6C92-4B46-8068-723C3B094F5E}" name="Custo Real" totalsRowFunction="sum" dataDxfId="1287" totalsRowDxfId="1286"/>
    <tableColumn id="4" xr3:uid="{BDE9A1B7-124B-4B31-8F7C-442F18D8AF48}" name="Diferença" totalsRowFunction="sum" dataDxfId="1285" totalsRowDxfId="1284">
      <calculatedColumnFormula>Tabela113426[[#This Row],[Custo Projetado]]-Tabela113426[[#This Row],[Custo Real]]</calculatedColumnFormula>
    </tableColumn>
  </tableColumns>
  <tableStyleInfo name="TableStyleMedium2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5D471D0-CEA9-49D1-9AA7-539E9ADB9B1F}" name="Tabela413527" displayName="Tabela413527" ref="A35:D40" totalsRowCount="1" headerRowDxfId="1283" dataDxfId="1282" totalsRowDxfId="1280" tableBorderDxfId="1281">
  <autoFilter ref="A35:D39" xr:uid="{00000000-0009-0000-0100-000086000000}"/>
  <tableColumns count="4">
    <tableColumn id="1" xr3:uid="{CCCD16F5-2549-4996-9687-A9288E97878A}" name="SEGURO" totalsRowLabel="Total" dataDxfId="1279" totalsRowDxfId="1278"/>
    <tableColumn id="2" xr3:uid="{0C86AF1A-3408-4C28-AA71-707A1CAAB2DC}" name="Custo Projetado" totalsRowFunction="sum" dataDxfId="1277" totalsRowDxfId="1276"/>
    <tableColumn id="3" xr3:uid="{66BA9806-4641-4B30-BCA5-A8204D15C038}" name="Custo Real" totalsRowFunction="sum" dataDxfId="1275" totalsRowDxfId="1274"/>
    <tableColumn id="4" xr3:uid="{85F3E6D2-B2B9-4434-B4E0-280A89A811D7}" name="Diferença" totalsRowFunction="sum" dataDxfId="1273" totalsRowDxfId="1272">
      <calculatedColumnFormula>Tabela413527[[#This Row],[Custo Projetado]]-Tabela413527[[#This Row],[Custo Real]]</calculatedColumnFormula>
    </tableColumn>
  </tableColumns>
  <tableStyleInfo name="TableStyleMedium2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4CC27E7-2ABA-4E17-BD3B-B54DFD5502A5}" name="Tabela1213628" displayName="Tabela1213628" ref="F50:I55" totalsRowCount="1" headerRowDxfId="1271" dataDxfId="1270" totalsRowDxfId="1268" tableBorderDxfId="1269">
  <autoFilter ref="F50:I54" xr:uid="{00000000-0009-0000-0100-000087000000}"/>
  <tableColumns count="4">
    <tableColumn id="1" xr3:uid="{8BD7C4F3-94F7-4302-A654-A3A7AA4A8DCB}" name="LEGAL" totalsRowLabel="Total" dataDxfId="1267" totalsRowDxfId="1266"/>
    <tableColumn id="2" xr3:uid="{A85AD9FB-96AC-4C01-9321-912D284CE3AE}" name="Custo Projetado" totalsRowFunction="sum" dataDxfId="1265" totalsRowDxfId="1264"/>
    <tableColumn id="3" xr3:uid="{2C9FC9CF-5C77-4099-9B22-658930FBBAA9}" name="Custo Real" totalsRowFunction="sum" dataDxfId="1263" totalsRowDxfId="1262"/>
    <tableColumn id="4" xr3:uid="{751D6A11-A0FF-41B8-9BBE-3975812A1160}" name="Diferença" totalsRowFunction="sum" dataDxfId="1261" totalsRowDxfId="1260">
      <calculatedColumnFormula>Tabela1213628[[#This Row],[Custo Projetado]]-Tabela1213628[[#This Row],[Custo Real]]</calculatedColumnFormula>
    </tableColumn>
  </tableColumns>
  <tableStyleInfo name="TableStyleMedium2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F6A87C0-E776-4B62-A0B0-857A3A87E545}" name="Tabela613729" displayName="Tabela613729" ref="A48:D54" totalsRowCount="1" headerRowDxfId="1259" dataDxfId="1258" totalsRowDxfId="1256" tableBorderDxfId="1257">
  <autoFilter ref="A48:D53" xr:uid="{00000000-0009-0000-0100-000088000000}"/>
  <tableColumns count="4">
    <tableColumn id="1" xr3:uid="{05480CFE-B48D-4D3E-B792-D05EB9B11208}" name="ANIMAIS DE ESTIMAÇÃO" totalsRowLabel="Total" dataDxfId="1255" totalsRowDxfId="1254"/>
    <tableColumn id="2" xr3:uid="{510786DB-7863-4299-A21F-92D8D7B479F2}" name="Custo Projetado" totalsRowFunction="sum" dataDxfId="1253" totalsRowDxfId="1252"/>
    <tableColumn id="3" xr3:uid="{71B285A9-FC5B-42C5-9075-214B75D45F24}" name="Custo Real" totalsRowFunction="sum" dataDxfId="1251" totalsRowDxfId="1250"/>
    <tableColumn id="4" xr3:uid="{9C5B5D61-4524-42C1-892F-B7986BDB78EB}" name="Diferença" totalsRowFunction="sum" dataDxfId="1249" totalsRowDxfId="1248">
      <calculatedColumnFormula>Tabela613729[[#This Row],[Custo Projetado]]-Tabela613729[[#This Row],[Custo Real]]</calculatedColumnFormula>
    </tableColumn>
  </tableColumns>
  <tableStyleInfo name="TableStyleMedium2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BA6F624-76AA-40EB-8209-C41E82991497}" name="Tabela1113830" displayName="Tabela1113830" ref="F44:I48" totalsRowCount="1" headerRowDxfId="1247" dataDxfId="1246" totalsRowDxfId="1244" tableBorderDxfId="1245">
  <autoFilter ref="F44:I47" xr:uid="{00000000-0009-0000-0100-000089000000}"/>
  <tableColumns count="4">
    <tableColumn id="1" xr3:uid="{4170C152-1E58-4AC8-8390-C4BE6C8DB5D9}" name="PRESENTES E DOAÇÕES" totalsRowLabel="Total" dataDxfId="1243" totalsRowDxfId="1242"/>
    <tableColumn id="2" xr3:uid="{C54EDBC7-17C2-404E-BDC0-DA6F5169B887}" name="Custo Projetado" totalsRowFunction="sum" dataDxfId="1241" totalsRowDxfId="1240"/>
    <tableColumn id="3" xr3:uid="{9B607E39-51F5-4639-A0E5-4A8FD89319AD}" name="Custo Real" totalsRowFunction="sum" dataDxfId="1239" totalsRowDxfId="1238"/>
    <tableColumn id="4" xr3:uid="{7DC13690-818F-4F92-A357-AC9DDF12272C}" name="Diferença" totalsRowFunction="sum" dataDxfId="1237" totalsRowDxfId="1236">
      <calculatedColumnFormula>Tabela1113830[[#This Row],[Custo Projetado]]-Tabela1113830[[#This Row],[Custo Real]]</calculatedColumnFormula>
    </tableColumn>
  </tableColumns>
  <tableStyleInfo name="TableStyleMedium23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D4AD3C9-0228-4EE5-BC02-3BCE9F4041E8}" name="Tabela513931" displayName="Tabela513931" ref="A42:D46" totalsRowCount="1" headerRowDxfId="1235" dataDxfId="1234" totalsRowDxfId="1232" tableBorderDxfId="1233">
  <autoFilter ref="A42:D45" xr:uid="{00000000-0009-0000-0100-00008A000000}"/>
  <tableColumns count="4">
    <tableColumn id="1" xr3:uid="{1ADD789D-FEC0-4DDE-8F6B-80CBFFFCB7DD}" name="ALIMENTAÇÃO" totalsRowLabel="Total" dataDxfId="1231" totalsRowDxfId="1230"/>
    <tableColumn id="2" xr3:uid="{9946987E-A1DD-418C-87F5-8E9AF5857C24}" name="Custo Projetado" totalsRowFunction="sum" dataDxfId="1229" totalsRowDxfId="1228"/>
    <tableColumn id="3" xr3:uid="{14335B1B-6705-4B2D-A421-83BDCE4F7B56}" name="Custo Real" totalsRowFunction="sum" dataDxfId="1227" totalsRowDxfId="1226"/>
    <tableColumn id="4" xr3:uid="{0AD5F84E-4219-44FE-A1DC-FB1D77053ED4}" name="Diferença" totalsRowFunction="sum" dataDxfId="1225" totalsRowDxfId="1224">
      <calculatedColumnFormula>Tabela513931[[#This Row],[Custo Projetado]]-Tabela513931[[#This Row],[Custo Real]]</calculatedColumnFormula>
    </tableColumn>
  </tableColumns>
  <tableStyleInfo name="TableStyleMedium2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2643FC9-C056-4CDF-9F5C-F8BDA130B8F9}" name="Tabela914032" displayName="Tabela914032" ref="F31:I36" totalsRowCount="1" headerRowDxfId="1223" dataDxfId="1222" totalsRowDxfId="1220" tableBorderDxfId="1221">
  <autoFilter ref="F31:I35" xr:uid="{00000000-0009-0000-0100-00008B000000}"/>
  <tableColumns count="4">
    <tableColumn id="1" xr3:uid="{2B2FC538-AEB7-4C06-9666-E856266E54F1}" name="IMPOSTOS" totalsRowLabel="Total" dataDxfId="1219" totalsRowDxfId="1218"/>
    <tableColumn id="2" xr3:uid="{A8A8D609-3C25-42AA-A0DB-66F17FF6DAAA}" name="Custo Projetado" totalsRowFunction="sum" dataDxfId="1217" totalsRowDxfId="1216"/>
    <tableColumn id="3" xr3:uid="{67C53E8B-5061-40E3-B1CA-6CFA82BB8582}" name="Custo Real" totalsRowFunction="sum" dataDxfId="1215" totalsRowDxfId="1214"/>
    <tableColumn id="4" xr3:uid="{F20C986A-AF50-42DA-B44B-E2FCA9806357}" name="Diferença" totalsRowFunction="sum" dataDxfId="1213" totalsRowDxfId="1212">
      <calculatedColumnFormula>Tabela914032[[#This Row],[Custo Projetado]]-Tabela914032[[#This Row],[Custo Real]]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19000000}" name="Tabela4135" displayName="Tabela4135" ref="A35:D40" totalsRowCount="1" headerRowDxfId="1427" dataDxfId="1426" totalsRowDxfId="1424" tableBorderDxfId="1425">
  <autoFilter ref="A35:D39" xr:uid="{00000000-0009-0000-0100-000086000000}"/>
  <tableColumns count="4">
    <tableColumn id="1" xr3:uid="{00000000-0010-0000-1900-000001000000}" name="SEGURO" totalsRowLabel="Total" dataDxfId="1423" totalsRowDxfId="1422"/>
    <tableColumn id="2" xr3:uid="{00000000-0010-0000-1900-000002000000}" name="Custo Projetado" totalsRowFunction="sum" dataDxfId="1421" totalsRowDxfId="1420"/>
    <tableColumn id="3" xr3:uid="{00000000-0010-0000-1900-000003000000}" name="Custo Real" totalsRowFunction="sum" dataDxfId="1419" totalsRowDxfId="1418"/>
    <tableColumn id="4" xr3:uid="{00000000-0010-0000-1900-000004000000}" name="Diferença" totalsRowFunction="sum" dataDxfId="1417" totalsRowDxfId="1416">
      <calculatedColumnFormula>Tabela4135[[#This Row],[Custo Projetado]]-Tabela4135[[#This Row],[Custo Real]]</calculatedColumnFormula>
    </tableColumn>
  </tableColumns>
  <tableStyleInfo name="TableStyleMedium2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AF50B5F-0431-4640-8D50-33DDE07FF0B1}" name="Tabela314133" displayName="Tabela314133" ref="A23:D33" totalsRowCount="1" headerRowDxfId="1211" dataDxfId="1210" totalsRowDxfId="1208" tableBorderDxfId="1209">
  <autoFilter ref="A23:D32" xr:uid="{00000000-0009-0000-0100-00008C000000}"/>
  <tableColumns count="4">
    <tableColumn id="1" xr3:uid="{B1C56C9D-D913-42D5-BF18-B0D7D95FFE00}" name="TRANSPORTE" totalsRowLabel="Total" dataDxfId="1207" totalsRowDxfId="1206"/>
    <tableColumn id="2" xr3:uid="{00014E6F-5A75-4F90-B16F-04904C69EA63}" name="Custo Projetado" totalsRowFunction="sum" dataDxfId="1205" totalsRowDxfId="1204"/>
    <tableColumn id="3" xr3:uid="{235DC7AE-D851-450D-9A5D-0E6C1ABC96B4}" name="Custo Real" totalsRowFunction="sum" dataDxfId="1203" totalsRowDxfId="1202"/>
    <tableColumn id="4" xr3:uid="{E3E2075F-BD74-455B-A748-C70227EBB14E}" name="Diferença" totalsRowFunction="sum" dataDxfId="1201" totalsRowDxfId="1200">
      <calculatedColumnFormula>Tabela314133[[#This Row],[Custo Projetado]]-Tabela314133[[#This Row],[Custo Real]]</calculatedColumnFormula>
    </tableColumn>
  </tableColumns>
  <tableStyleInfo name="TableStyleMedium23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8A111B0-75B6-4E30-A7C2-B93B32E9C674}" name="Tabela814234" displayName="Tabela814234" ref="F22:I29" totalsRowCount="1" headerRowDxfId="1199" dataDxfId="1198" totalsRowDxfId="1196" tableBorderDxfId="1197">
  <autoFilter ref="F22:I28" xr:uid="{00000000-0009-0000-0100-00008D000000}"/>
  <tableColumns count="4">
    <tableColumn id="1" xr3:uid="{A2470FD8-A06A-4623-8DDE-526036C19E61}" name="EMPRÉSTIMOS" totalsRowLabel="Total" dataDxfId="1195" totalsRowDxfId="331"/>
    <tableColumn id="2" xr3:uid="{CB2D4A0D-335D-47D2-88ED-09B1BAD7241D}" name="Custo Projetado" totalsRowFunction="sum" dataDxfId="1194" totalsRowDxfId="330"/>
    <tableColumn id="3" xr3:uid="{04E6FE60-9763-4984-99C0-0E14A024EEA8}" name="Custo Real" totalsRowFunction="sum" dataDxfId="1193" totalsRowDxfId="329"/>
    <tableColumn id="4" xr3:uid="{34CDBA1D-C70B-45F3-9487-09EDCA7A439A}" name="Diferença" totalsRowFunction="sum" dataDxfId="1192" totalsRowDxfId="328">
      <calculatedColumnFormula>Tabela814234[[#This Row],[Custo Projetado]]-Tabela814234[[#This Row],[Custo Real]]</calculatedColumnFormula>
    </tableColumn>
  </tableColumns>
  <tableStyleInfo name="TableStyleMedium23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3B2ECE9-FDB2-41AE-8FF5-FD7921810D56}" name="Tabela1014335" displayName="Tabela1014335" ref="F38:I42" totalsRowCount="1" headerRowDxfId="1191" dataDxfId="1190" totalsRowDxfId="1188" tableBorderDxfId="1189">
  <autoFilter ref="F38:I41" xr:uid="{00000000-0009-0000-0100-00008E000000}"/>
  <tableColumns count="4">
    <tableColumn id="1" xr3:uid="{D01E9864-1957-4956-ACC7-A4CFB88C240B}" name="ECONOMIAS OU INVESTIMENTOS" totalsRowLabel="Total" dataDxfId="1187" totalsRowDxfId="1186"/>
    <tableColumn id="2" xr3:uid="{E276CFA0-A90C-4A3F-803B-9E9D4DA5DBEF}" name="Custo Projetado" totalsRowFunction="sum" dataDxfId="1185" totalsRowDxfId="1184"/>
    <tableColumn id="3" xr3:uid="{C8E30219-F0FC-42FD-9DBA-34BAB85641C8}" name="Custo Real" totalsRowFunction="sum" dataDxfId="1183" totalsRowDxfId="1182"/>
    <tableColumn id="4" xr3:uid="{99D4D2DF-A1BE-48B1-A444-55B7261D570F}" name="Diferença" totalsRowFunction="sum" dataDxfId="1181" totalsRowDxfId="1180">
      <calculatedColumnFormula>Tabela1014335[[#This Row],[Custo Projetado]]-Tabela1014335[[#This Row],[Custo Real]]</calculatedColumnFormula>
    </tableColumn>
  </tableColumns>
  <tableStyleInfo name="TableStyleMedium23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07F1A8E-4C13-4092-930F-268D1FBF3048}" name="Tabela714436" displayName="Tabela714436" ref="A56:D64" totalsRowCount="1" headerRowDxfId="1179" dataDxfId="1178" totalsRowDxfId="1176" tableBorderDxfId="1177">
  <autoFilter ref="A56:D63" xr:uid="{00000000-0009-0000-0100-00008F000000}"/>
  <tableColumns count="4">
    <tableColumn id="1" xr3:uid="{71F16542-F102-440A-B40F-6B4A93AD9390}" name="CUIDADOS PESSOAIS" totalsRowLabel="Total" dataDxfId="1175" totalsRowDxfId="1174"/>
    <tableColumn id="2" xr3:uid="{A1EE2962-83F2-4CB5-93B3-3861E65537DA}" name="Custo Projetado" totalsRowFunction="sum" dataDxfId="1173" totalsRowDxfId="1172"/>
    <tableColumn id="3" xr3:uid="{8EC88AE1-5DCE-472E-9256-84887241551B}" name="Custo Real" totalsRowFunction="sum" dataDxfId="1171" totalsRowDxfId="1170"/>
    <tableColumn id="4" xr3:uid="{38942A25-4A76-4526-8692-0A12F6CE1C74}" name="Diferença" totalsRowFunction="sum" dataDxfId="1169" totalsRowDxfId="1168">
      <calculatedColumnFormula>Tabela714436[[#This Row],[Custo Projetado]]-Tabela714436[[#This Row],[Custo Real]]</calculatedColumnFormula>
    </tableColumn>
  </tableColumns>
  <tableStyleInfo name="TableStyleMedium23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FF6A92E-5D5E-4349-A8F2-08243608CBCD}" name="Tabela214537" displayName="Tabela214537" ref="F10:I20" totalsRowCount="1" headerRowDxfId="1167" dataDxfId="1166" totalsRowDxfId="1164" tableBorderDxfId="1165">
  <autoFilter ref="F10:I19" xr:uid="{00000000-0009-0000-0100-000090000000}"/>
  <tableColumns count="4">
    <tableColumn id="1" xr3:uid="{34F2FAE7-F774-451C-A230-5318E7FD20AD}" name="ENTRETENIMENTO" totalsRowLabel="Total" dataDxfId="1163" totalsRowDxfId="1162"/>
    <tableColumn id="2" xr3:uid="{5CD94D76-6A22-4B17-A5AD-93FC4083DEDD}" name="Custo Projetado" totalsRowFunction="sum" dataDxfId="1161" totalsRowDxfId="1160"/>
    <tableColumn id="3" xr3:uid="{D13B6AC9-A61D-408C-B76D-B9AD11DF5B9F}" name="Custo Real" totalsRowFunction="sum" dataDxfId="1159" totalsRowDxfId="1158"/>
    <tableColumn id="4" xr3:uid="{5FEA70B3-D31D-426E-A648-BAF0B5E39238}" name="Diferença" totalsRowFunction="sum" dataDxfId="1157" totalsRowDxfId="1156">
      <calculatedColumnFormula>Tabela214537[[#This Row],[Custo Projetado]]-Tabela214537[[#This Row],[Custo Real]]</calculatedColumnFormula>
    </tableColumn>
  </tableColumns>
  <tableStyleInfo name="TableStyleMedium23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2D77798-6317-4ACB-BA72-3164F46F8316}" name="Tabela11342638" displayName="Tabela11342638" ref="A10:D21" totalsRowCount="1" headerRowDxfId="1155" dataDxfId="1154" totalsRowDxfId="1152" tableBorderDxfId="1153">
  <autoFilter ref="A10:D20" xr:uid="{00000000-0009-0000-0100-000085000000}"/>
  <tableColumns count="4">
    <tableColumn id="1" xr3:uid="{197E02D7-359A-4EC4-8A3B-DAFA6AE00827}" name="MORADIA" totalsRowLabel="Total" dataDxfId="1151" totalsRowDxfId="1150"/>
    <tableColumn id="2" xr3:uid="{71DC8C9F-63C8-43C4-8895-673BCB537C72}" name="Custo Projetado" totalsRowFunction="sum" dataDxfId="1149" totalsRowDxfId="1148"/>
    <tableColumn id="3" xr3:uid="{B5056392-5104-4F37-A7B2-01EF48E15C8A}" name="Custo Real" totalsRowFunction="sum" dataDxfId="1147" totalsRowDxfId="1146"/>
    <tableColumn id="4" xr3:uid="{801967D1-D998-471A-9233-A72EEB6E6BDB}" name="Diferença" totalsRowFunction="sum" dataDxfId="1145" totalsRowDxfId="1144">
      <calculatedColumnFormula>Tabela11342638[[#This Row],[Custo Projetado]]-Tabela11342638[[#This Row],[Custo Real]]</calculatedColumnFormula>
    </tableColumn>
  </tableColumns>
  <tableStyleInfo name="TableStyleMedium23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62EC447-DCB0-487E-90C4-46B789391AD5}" name="Tabela41352739" displayName="Tabela41352739" ref="A35:D40" totalsRowCount="1" headerRowDxfId="1143" dataDxfId="1142" totalsRowDxfId="1140" tableBorderDxfId="1141">
  <autoFilter ref="A35:D39" xr:uid="{00000000-0009-0000-0100-000086000000}"/>
  <tableColumns count="4">
    <tableColumn id="1" xr3:uid="{1408D02D-A647-46FD-B534-C49C768EE49C}" name="SEGURO" totalsRowLabel="Total" dataDxfId="1139" totalsRowDxfId="1138"/>
    <tableColumn id="2" xr3:uid="{0970BF6D-8D30-42CA-BCE2-05C3D6D120A6}" name="Custo Projetado" totalsRowFunction="sum" dataDxfId="1137" totalsRowDxfId="1136"/>
    <tableColumn id="3" xr3:uid="{2E73D378-ACEC-4009-92A8-35A1B1C1AF67}" name="Custo Real" totalsRowFunction="sum" dataDxfId="1135" totalsRowDxfId="1134"/>
    <tableColumn id="4" xr3:uid="{2E8B26DA-9EAD-4288-9470-27FE1CF752DF}" name="Diferença" totalsRowFunction="sum" dataDxfId="1133" totalsRowDxfId="1132">
      <calculatedColumnFormula>Tabela41352739[[#This Row],[Custo Projetado]]-Tabela41352739[[#This Row],[Custo Real]]</calculatedColumnFormula>
    </tableColumn>
  </tableColumns>
  <tableStyleInfo name="TableStyleMedium23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0CFC70F-65DD-4B9B-B740-3D54A49790A9}" name="Tabela121362840" displayName="Tabela121362840" ref="F50:I55" totalsRowCount="1" headerRowDxfId="1131" dataDxfId="1130" totalsRowDxfId="1128" tableBorderDxfId="1129">
  <autoFilter ref="F50:I54" xr:uid="{00000000-0009-0000-0100-000087000000}"/>
  <tableColumns count="4">
    <tableColumn id="1" xr3:uid="{496066E8-E3F8-4135-BEAB-EBF26F808D51}" name="LEGAL" totalsRowLabel="Total" dataDxfId="1127" totalsRowDxfId="1126"/>
    <tableColumn id="2" xr3:uid="{2F156F6B-5D6C-4F5F-AE17-5DAB99D3A8DA}" name="Custo Projetado" totalsRowFunction="sum" dataDxfId="1125" totalsRowDxfId="1124"/>
    <tableColumn id="3" xr3:uid="{7363EE10-B336-42A1-9AFF-FDF06C798B49}" name="Custo Real" totalsRowFunction="sum" dataDxfId="1123" totalsRowDxfId="1122"/>
    <tableColumn id="4" xr3:uid="{0C7082E9-9E81-4583-9952-5CD478B01365}" name="Diferença" totalsRowFunction="sum" dataDxfId="1121" totalsRowDxfId="1120">
      <calculatedColumnFormula>Tabela121362840[[#This Row],[Custo Projetado]]-Tabela121362840[[#This Row],[Custo Real]]</calculatedColumnFormula>
    </tableColumn>
  </tableColumns>
  <tableStyleInfo name="TableStyleMedium23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DAD33C5-A82F-4503-9891-6B57B07AB6EF}" name="Tabela61372941" displayName="Tabela61372941" ref="A48:D54" totalsRowCount="1" headerRowDxfId="1119" dataDxfId="1118" totalsRowDxfId="1116" tableBorderDxfId="1117">
  <autoFilter ref="A48:D53" xr:uid="{00000000-0009-0000-0100-000088000000}"/>
  <tableColumns count="4">
    <tableColumn id="1" xr3:uid="{D4602531-5FCF-4B55-BCB4-0D191242C49F}" name="ANIMAIS DE ESTIMAÇÃO" totalsRowLabel="Total" dataDxfId="1115" totalsRowDxfId="1114"/>
    <tableColumn id="2" xr3:uid="{62D91AA5-F909-479D-91F0-C16BD357C910}" name="Custo Projetado" totalsRowFunction="sum" dataDxfId="1113" totalsRowDxfId="1112"/>
    <tableColumn id="3" xr3:uid="{8F467F67-3409-4A13-A650-4708C2F856D7}" name="Custo Real" totalsRowFunction="sum" dataDxfId="1111" totalsRowDxfId="1110"/>
    <tableColumn id="4" xr3:uid="{14EC9F37-C25A-45B9-A348-65CC3215774C}" name="Diferença" totalsRowFunction="sum" dataDxfId="1109" totalsRowDxfId="1108">
      <calculatedColumnFormula>Tabela61372941[[#This Row],[Custo Projetado]]-Tabela61372941[[#This Row],[Custo Real]]</calculatedColumnFormula>
    </tableColumn>
  </tableColumns>
  <tableStyleInfo name="TableStyleMedium23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8DE9A74-2AA9-43B7-9AB3-21784D54CB4F}" name="Tabela111383042" displayName="Tabela111383042" ref="F44:I48" totalsRowCount="1" headerRowDxfId="1107" dataDxfId="1106" totalsRowDxfId="1104" tableBorderDxfId="1105">
  <autoFilter ref="F44:I47" xr:uid="{00000000-0009-0000-0100-000089000000}"/>
  <tableColumns count="4">
    <tableColumn id="1" xr3:uid="{3A5987B0-E5E5-4021-B010-0793C65BA5F9}" name="PRESENTES E DOAÇÕES" totalsRowLabel="Total" dataDxfId="1103" totalsRowDxfId="1102"/>
    <tableColumn id="2" xr3:uid="{41ABA292-5BF2-4E55-826A-0045C0E69C81}" name="Custo Projetado" totalsRowFunction="sum" dataDxfId="1101" totalsRowDxfId="1100"/>
    <tableColumn id="3" xr3:uid="{B5C91042-4FBF-44F5-B8B1-CA66F5A57BD9}" name="Custo Real" totalsRowFunction="sum" dataDxfId="1099" totalsRowDxfId="1098"/>
    <tableColumn id="4" xr3:uid="{C7F36F1F-4416-4358-9218-15D1256285AB}" name="Diferença" totalsRowFunction="sum" dataDxfId="1097" totalsRowDxfId="1096">
      <calculatedColumnFormula>Tabela111383042[[#This Row],[Custo Projetado]]-Tabela111383042[[#This Row],[Custo Real]]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1A000000}" name="Tabela12136" displayName="Tabela12136" ref="F50:I55" totalsRowCount="1" headerRowDxfId="1415" dataDxfId="1414" totalsRowDxfId="1412" tableBorderDxfId="1413">
  <autoFilter ref="F50:I54" xr:uid="{00000000-0009-0000-0100-000087000000}"/>
  <tableColumns count="4">
    <tableColumn id="1" xr3:uid="{00000000-0010-0000-1A00-000001000000}" name="LEGAL" totalsRowLabel="Total" dataDxfId="1411" totalsRowDxfId="1410"/>
    <tableColumn id="2" xr3:uid="{00000000-0010-0000-1A00-000002000000}" name="Custo Projetado" totalsRowFunction="sum" dataDxfId="1409" totalsRowDxfId="1408"/>
    <tableColumn id="3" xr3:uid="{00000000-0010-0000-1A00-000003000000}" name="Custo Real" totalsRowFunction="sum" dataDxfId="1407" totalsRowDxfId="1406"/>
    <tableColumn id="4" xr3:uid="{00000000-0010-0000-1A00-000004000000}" name="Diferença" totalsRowFunction="sum" dataDxfId="1405" totalsRowDxfId="1404">
      <calculatedColumnFormula>Tabela12136[[#This Row],[Custo Projetado]]-Tabela12136[[#This Row],[Custo Real]]</calculatedColumnFormula>
    </tableColumn>
  </tableColumns>
  <tableStyleInfo name="TableStyleMedium23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421EDD1-2677-48DA-9839-DC28DF10C7AB}" name="Tabela51393143" displayName="Tabela51393143" ref="A42:D46" totalsRowCount="1" headerRowDxfId="1095" dataDxfId="1094" totalsRowDxfId="1092" tableBorderDxfId="1093">
  <autoFilter ref="A42:D45" xr:uid="{00000000-0009-0000-0100-00008A000000}"/>
  <tableColumns count="4">
    <tableColumn id="1" xr3:uid="{EB0CE811-ABFA-46A8-A16A-8627013EBD84}" name="ALIMENTAÇÃO" totalsRowLabel="Total" dataDxfId="1091" totalsRowDxfId="1090"/>
    <tableColumn id="2" xr3:uid="{1B6D6491-D650-4896-BB37-E73FA46F887F}" name="Custo Projetado" totalsRowFunction="sum" dataDxfId="1089" totalsRowDxfId="1088"/>
    <tableColumn id="3" xr3:uid="{C2493513-8023-4760-809A-D21190C2115F}" name="Custo Real" totalsRowFunction="sum" dataDxfId="1087" totalsRowDxfId="1086"/>
    <tableColumn id="4" xr3:uid="{4488B828-89E9-49BA-A6D6-E400CE1A25E1}" name="Diferença" totalsRowFunction="sum" dataDxfId="1085" totalsRowDxfId="1084">
      <calculatedColumnFormula>Tabela51393143[[#This Row],[Custo Projetado]]-Tabela51393143[[#This Row],[Custo Real]]</calculatedColumnFormula>
    </tableColumn>
  </tableColumns>
  <tableStyleInfo name="TableStyleMedium23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AF251CD-5926-424A-81E8-835CAFC82AFF}" name="Tabela91403244" displayName="Tabela91403244" ref="F31:I36" totalsRowCount="1" headerRowDxfId="1083" dataDxfId="1082" totalsRowDxfId="1080" tableBorderDxfId="1081">
  <autoFilter ref="F31:I35" xr:uid="{00000000-0009-0000-0100-00008B000000}"/>
  <tableColumns count="4">
    <tableColumn id="1" xr3:uid="{A21DCC61-6E03-4FBA-A76B-D35D7A6A8FB8}" name="IMPOSTOS" totalsRowLabel="Total" dataDxfId="1079" totalsRowDxfId="1078"/>
    <tableColumn id="2" xr3:uid="{CD284FAB-6DB1-4785-991B-469E4B8553BF}" name="Custo Projetado" totalsRowFunction="sum" dataDxfId="1077" totalsRowDxfId="1076"/>
    <tableColumn id="3" xr3:uid="{E9B8E234-E54F-48E2-9C06-31415CA07A00}" name="Custo Real" totalsRowFunction="sum" dataDxfId="1075" totalsRowDxfId="1074"/>
    <tableColumn id="4" xr3:uid="{6715E521-3576-43A5-859F-0775B1406B52}" name="Diferença" totalsRowFunction="sum" dataDxfId="1073" totalsRowDxfId="1072">
      <calculatedColumnFormula>Tabela91403244[[#This Row],[Custo Projetado]]-Tabela91403244[[#This Row],[Custo Real]]</calculatedColumnFormula>
    </tableColumn>
  </tableColumns>
  <tableStyleInfo name="TableStyleMedium23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F130D30-0DDF-4C41-8481-4862CF350F19}" name="Tabela31413345" displayName="Tabela31413345" ref="A23:D33" totalsRowCount="1" headerRowDxfId="1071" dataDxfId="1070" totalsRowDxfId="1068" tableBorderDxfId="1069">
  <autoFilter ref="A23:D32" xr:uid="{00000000-0009-0000-0100-00008C000000}"/>
  <tableColumns count="4">
    <tableColumn id="1" xr3:uid="{F2A7C4C0-8917-454D-B4B3-AA1E07948DEF}" name="TRANSPORTE" totalsRowLabel="Total" dataDxfId="1067" totalsRowDxfId="1066"/>
    <tableColumn id="2" xr3:uid="{52482B06-E266-4421-943E-3B71E3AC28FA}" name="Custo Projetado" totalsRowFunction="sum" dataDxfId="1065" totalsRowDxfId="1064"/>
    <tableColumn id="3" xr3:uid="{8FB26B4D-7883-42BF-B6E4-CDE36FCACBD9}" name="Custo Real" totalsRowFunction="sum" dataDxfId="1063" totalsRowDxfId="1062"/>
    <tableColumn id="4" xr3:uid="{F0D691DE-5256-49EB-9C37-6C72C35FB2E1}" name="Diferença" totalsRowFunction="sum" dataDxfId="1061" totalsRowDxfId="1060">
      <calculatedColumnFormula>Tabela31413345[[#This Row],[Custo Projetado]]-Tabela31413345[[#This Row],[Custo Real]]</calculatedColumnFormula>
    </tableColumn>
  </tableColumns>
  <tableStyleInfo name="TableStyleMedium23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839CC2B-A07A-48EF-B926-6340AFEE60E3}" name="Tabela81423446" displayName="Tabela81423446" ref="F22:I29" totalsRowCount="1" headerRowDxfId="1059" dataDxfId="1058" totalsRowDxfId="1056" tableBorderDxfId="1057">
  <autoFilter ref="F22:I28" xr:uid="{00000000-0009-0000-0100-00008D000000}"/>
  <tableColumns count="4">
    <tableColumn id="1" xr3:uid="{4ABA4F2E-B46D-4962-B83D-03DFC7665C9A}" name="EMPRÉSTIMOS" totalsRowLabel="Total" dataDxfId="1055" totalsRowDxfId="327"/>
    <tableColumn id="2" xr3:uid="{416A42D4-6FB9-4FB0-84B4-83CC4C38ED30}" name="Custo Projetado" totalsRowFunction="sum" dataDxfId="1054" totalsRowDxfId="326"/>
    <tableColumn id="3" xr3:uid="{1BB8F98A-E52B-425E-A3E6-5C56AD9F32BF}" name="Custo Real" totalsRowFunction="sum" dataDxfId="1053" totalsRowDxfId="325"/>
    <tableColumn id="4" xr3:uid="{F8FB6F5F-3DE2-42DA-97EA-C0167162C7AE}" name="Diferença" totalsRowFunction="sum" dataDxfId="1052" totalsRowDxfId="324">
      <calculatedColumnFormula>Tabela81423446[[#This Row],[Custo Projetado]]-Tabela81423446[[#This Row],[Custo Real]]</calculatedColumnFormula>
    </tableColumn>
  </tableColumns>
  <tableStyleInfo name="TableStyleMedium23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E05291E-DB12-4EE4-B795-982456A85AE5}" name="Tabela101433547" displayName="Tabela101433547" ref="F38:I42" totalsRowCount="1" headerRowDxfId="1051" dataDxfId="1050" totalsRowDxfId="1048" tableBorderDxfId="1049">
  <autoFilter ref="F38:I41" xr:uid="{00000000-0009-0000-0100-00008E000000}"/>
  <tableColumns count="4">
    <tableColumn id="1" xr3:uid="{DEBB8489-17D2-46F8-9B80-3EC2E60AD46E}" name="ECONOMIAS OU INVESTIMENTOS" totalsRowLabel="Total" dataDxfId="1047" totalsRowDxfId="1046"/>
    <tableColumn id="2" xr3:uid="{EC2D0360-D3E9-491F-ADB7-80AFBD3A720B}" name="Custo Projetado" totalsRowFunction="sum" dataDxfId="1045" totalsRowDxfId="1044"/>
    <tableColumn id="3" xr3:uid="{1BCD751D-F4D7-4E99-B8A7-3350C4AAAC50}" name="Custo Real" totalsRowFunction="sum" dataDxfId="1043" totalsRowDxfId="1042"/>
    <tableColumn id="4" xr3:uid="{F03E84F6-5F2D-411F-9BEA-1C418E3A4ACD}" name="Diferença" totalsRowFunction="sum" dataDxfId="1041" totalsRowDxfId="1040">
      <calculatedColumnFormula>Tabela101433547[[#This Row],[Custo Projetado]]-Tabela101433547[[#This Row],[Custo Real]]</calculatedColumnFormula>
    </tableColumn>
  </tableColumns>
  <tableStyleInfo name="TableStyleMedium23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DA8F2C0-F670-4D22-9095-A38712DC0467}" name="Tabela71443648" displayName="Tabela71443648" ref="A56:D64" totalsRowCount="1" headerRowDxfId="1039" dataDxfId="1038" totalsRowDxfId="1036" tableBorderDxfId="1037">
  <autoFilter ref="A56:D63" xr:uid="{00000000-0009-0000-0100-00008F000000}"/>
  <tableColumns count="4">
    <tableColumn id="1" xr3:uid="{64DA04C3-FD10-4D3B-B6FE-8FA026B90C7F}" name="CUIDADOS PESSOAIS" totalsRowLabel="Total" dataDxfId="1035" totalsRowDxfId="1034"/>
    <tableColumn id="2" xr3:uid="{693A5F67-6B5D-42D1-829F-7C6BE375D2AE}" name="Custo Projetado" totalsRowFunction="sum" dataDxfId="1033" totalsRowDxfId="1032"/>
    <tableColumn id="3" xr3:uid="{71E438B2-A36E-4A3B-8AB1-3FF617F600E9}" name="Custo Real" totalsRowFunction="sum" dataDxfId="1031" totalsRowDxfId="1030"/>
    <tableColumn id="4" xr3:uid="{D5786352-80D5-4B95-A451-9CF5911469BE}" name="Diferença" totalsRowFunction="sum" dataDxfId="1029" totalsRowDxfId="1028">
      <calculatedColumnFormula>Tabela71443648[[#This Row],[Custo Projetado]]-Tabela71443648[[#This Row],[Custo Real]]</calculatedColumnFormula>
    </tableColumn>
  </tableColumns>
  <tableStyleInfo name="TableStyleMedium23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7500493-5C62-4518-BB52-D724811D0D88}" name="Tabela21453749" displayName="Tabela21453749" ref="F10:I20" totalsRowCount="1" headerRowDxfId="1027" dataDxfId="1026" totalsRowDxfId="1024" tableBorderDxfId="1025">
  <autoFilter ref="F10:I19" xr:uid="{00000000-0009-0000-0100-000090000000}"/>
  <tableColumns count="4">
    <tableColumn id="1" xr3:uid="{E27BFE57-F64E-4058-A85E-56D76D3D98DA}" name="ENTRETENIMENTO" totalsRowLabel="Total" dataDxfId="1023" totalsRowDxfId="1022"/>
    <tableColumn id="2" xr3:uid="{48A62E19-0FAD-43AC-8946-35F408CCFBE4}" name="Custo Projetado" totalsRowFunction="sum" dataDxfId="1021" totalsRowDxfId="1020"/>
    <tableColumn id="3" xr3:uid="{F99C9B83-0FB2-409C-800E-EEE19F69E303}" name="Custo Real" totalsRowFunction="sum" dataDxfId="1019" totalsRowDxfId="1018"/>
    <tableColumn id="4" xr3:uid="{ECAD318B-B6F4-4BC0-A53F-F626994BD580}" name="Diferença" totalsRowFunction="sum" dataDxfId="1017" totalsRowDxfId="1016">
      <calculatedColumnFormula>Tabela21453749[[#This Row],[Custo Projetado]]-Tabela21453749[[#This Row],[Custo Real]]</calculatedColumnFormula>
    </tableColumn>
  </tableColumns>
  <tableStyleInfo name="TableStyleMedium23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A305BC3-55A4-498E-8065-B05DA080EE57}" name="Tabela1134263850" displayName="Tabela1134263850" ref="A10:D21" totalsRowCount="1" headerRowDxfId="1015" dataDxfId="1014" totalsRowDxfId="1012" tableBorderDxfId="1013">
  <autoFilter ref="A10:D20" xr:uid="{00000000-0009-0000-0100-000085000000}"/>
  <tableColumns count="4">
    <tableColumn id="1" xr3:uid="{2C31AFF3-AD00-408B-A062-5616861502BE}" name="MORADIA" totalsRowLabel="Total" dataDxfId="1011" totalsRowDxfId="1010"/>
    <tableColumn id="2" xr3:uid="{1E5448FE-DB22-4387-9D0F-0D7D8CB2C17A}" name="Custo Projetado" totalsRowFunction="sum" dataDxfId="1009" totalsRowDxfId="1008"/>
    <tableColumn id="3" xr3:uid="{CC6F111C-8826-4477-AC51-2FD406F0E2DC}" name="Custo Real" totalsRowFunction="sum" dataDxfId="1007" totalsRowDxfId="1006"/>
    <tableColumn id="4" xr3:uid="{D3C06986-3F56-4B4D-A5E8-057B1991DE60}" name="Diferença" totalsRowFunction="sum" dataDxfId="1005" totalsRowDxfId="1004">
      <calculatedColumnFormula>Tabela1134263850[[#This Row],[Custo Projetado]]-Tabela1134263850[[#This Row],[Custo Real]]</calculatedColumnFormula>
    </tableColumn>
  </tableColumns>
  <tableStyleInfo name="TableStyleMedium23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A63A6FC-2724-4A20-B248-AAF53EB33DFB}" name="Tabela4135273951" displayName="Tabela4135273951" ref="A35:D40" totalsRowCount="1" headerRowDxfId="1003" dataDxfId="1002" totalsRowDxfId="1000" tableBorderDxfId="1001">
  <autoFilter ref="A35:D39" xr:uid="{00000000-0009-0000-0100-000086000000}"/>
  <tableColumns count="4">
    <tableColumn id="1" xr3:uid="{9124F00C-5FDA-47BF-898F-20B850256E67}" name="SEGURO" totalsRowLabel="Total" dataDxfId="999" totalsRowDxfId="998"/>
    <tableColumn id="2" xr3:uid="{110FB354-DD7D-48F5-8A6B-94075283F2E6}" name="Custo Projetado" totalsRowFunction="sum" dataDxfId="997" totalsRowDxfId="996"/>
    <tableColumn id="3" xr3:uid="{6EF0C9B9-66EC-4AC2-A83E-72FCECB2301F}" name="Custo Real" totalsRowFunction="sum" dataDxfId="995" totalsRowDxfId="994"/>
    <tableColumn id="4" xr3:uid="{EABF36CD-284F-4BBF-B373-F3F9C984F9C7}" name="Diferença" totalsRowFunction="sum" dataDxfId="993" totalsRowDxfId="992">
      <calculatedColumnFormula>Tabela4135273951[[#This Row],[Custo Projetado]]-Tabela4135273951[[#This Row],[Custo Real]]</calculatedColumnFormula>
    </tableColumn>
  </tableColumns>
  <tableStyleInfo name="TableStyleMedium23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FF10EF0-EA32-46C4-8445-06C52EC9791B}" name="Tabela12136284052" displayName="Tabela12136284052" ref="F50:I55" totalsRowCount="1" headerRowDxfId="991" dataDxfId="990" totalsRowDxfId="988" tableBorderDxfId="989">
  <autoFilter ref="F50:I54" xr:uid="{00000000-0009-0000-0100-000087000000}"/>
  <tableColumns count="4">
    <tableColumn id="1" xr3:uid="{417F7637-67B0-408D-87FB-68EB9CD9CF1A}" name="LEGAL" totalsRowLabel="Total" dataDxfId="987" totalsRowDxfId="986"/>
    <tableColumn id="2" xr3:uid="{E4415EA4-F057-4DF7-94A7-D4ACC7CC1731}" name="Custo Projetado" totalsRowFunction="sum" dataDxfId="985" totalsRowDxfId="984"/>
    <tableColumn id="3" xr3:uid="{D88DA888-8BB9-474F-A9ED-EDDB8932F069}" name="Custo Real" totalsRowFunction="sum" dataDxfId="983" totalsRowDxfId="982"/>
    <tableColumn id="4" xr3:uid="{0705A973-0059-498C-9F88-DAB946E9EF75}" name="Diferença" totalsRowFunction="sum" dataDxfId="981" totalsRowDxfId="980">
      <calculatedColumnFormula>Tabela12136284052[[#This Row],[Custo Projetado]]-Tabela12136284052[[#This Row],[Custo Real]]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1B000000}" name="Tabela6137" displayName="Tabela6137" ref="A48:D54" totalsRowCount="1" headerRowDxfId="1403" dataDxfId="1402" totalsRowDxfId="1400" tableBorderDxfId="1401">
  <autoFilter ref="A48:D53" xr:uid="{00000000-0009-0000-0100-000088000000}"/>
  <tableColumns count="4">
    <tableColumn id="1" xr3:uid="{00000000-0010-0000-1B00-000001000000}" name="ANIMAIS DE ESTIMAÇÃO" totalsRowLabel="Total" dataDxfId="1399" totalsRowDxfId="1398"/>
    <tableColumn id="2" xr3:uid="{00000000-0010-0000-1B00-000002000000}" name="Custo Projetado" totalsRowFunction="sum" dataDxfId="1397" totalsRowDxfId="1396"/>
    <tableColumn id="3" xr3:uid="{00000000-0010-0000-1B00-000003000000}" name="Custo Real" totalsRowFunction="sum" dataDxfId="1395" totalsRowDxfId="1394"/>
    <tableColumn id="4" xr3:uid="{00000000-0010-0000-1B00-000004000000}" name="Diferença" totalsRowFunction="sum" dataDxfId="1393" totalsRowDxfId="1392">
      <calculatedColumnFormula>Tabela6137[[#This Row],[Custo Projetado]]-Tabela6137[[#This Row],[Custo Real]]</calculatedColumnFormula>
    </tableColumn>
  </tableColumns>
  <tableStyleInfo name="TableStyleMedium23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FB726BE-20A5-441B-AB3C-F846497E5042}" name="Tabela6137294153" displayName="Tabela6137294153" ref="A48:D54" totalsRowCount="1" headerRowDxfId="979" dataDxfId="978" totalsRowDxfId="976" tableBorderDxfId="977">
  <autoFilter ref="A48:D53" xr:uid="{00000000-0009-0000-0100-000088000000}"/>
  <tableColumns count="4">
    <tableColumn id="1" xr3:uid="{FE6B4127-67D9-4F9C-AA2D-E788A986EAB0}" name="ANIMAIS DE ESTIMAÇÃO" totalsRowLabel="Total" dataDxfId="975" totalsRowDxfId="974"/>
    <tableColumn id="2" xr3:uid="{7804A86F-18EA-4B36-8FA5-DF17AA9FDDB6}" name="Custo Projetado" totalsRowFunction="sum" dataDxfId="973" totalsRowDxfId="972"/>
    <tableColumn id="3" xr3:uid="{671D93AB-9711-47BF-8F8A-B03A337E18F6}" name="Custo Real" totalsRowFunction="sum" dataDxfId="971" totalsRowDxfId="970"/>
    <tableColumn id="4" xr3:uid="{148CFF32-123E-4C4C-B1C9-003F405AEB80}" name="Diferença" totalsRowFunction="sum" dataDxfId="969" totalsRowDxfId="968">
      <calculatedColumnFormula>Tabela6137294153[[#This Row],[Custo Projetado]]-Tabela6137294153[[#This Row],[Custo Real]]</calculatedColumnFormula>
    </tableColumn>
  </tableColumns>
  <tableStyleInfo name="TableStyleMedium23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99023-ECE4-4895-B659-FFF983E3B2FD}" name="Tabela11138304254" displayName="Tabela11138304254" ref="F44:I48" totalsRowCount="1" headerRowDxfId="967" dataDxfId="966" totalsRowDxfId="964" tableBorderDxfId="965">
  <autoFilter ref="F44:I47" xr:uid="{00000000-0009-0000-0100-000089000000}"/>
  <tableColumns count="4">
    <tableColumn id="1" xr3:uid="{6DDDB374-A5F2-46E4-A2EC-D674A235413E}" name="PRESENTES E DOAÇÕES" totalsRowLabel="Total" dataDxfId="963" totalsRowDxfId="962"/>
    <tableColumn id="2" xr3:uid="{BD0DD2F7-C301-4BC1-B369-748BF3131768}" name="Custo Projetado" totalsRowFunction="sum" dataDxfId="961" totalsRowDxfId="960"/>
    <tableColumn id="3" xr3:uid="{8AD6F42E-E236-485D-873E-3EFD3CD51CAD}" name="Custo Real" totalsRowFunction="sum" dataDxfId="959" totalsRowDxfId="958"/>
    <tableColumn id="4" xr3:uid="{DBEAE98F-C678-4290-9827-D8802EEBC36B}" name="Diferença" totalsRowFunction="sum" dataDxfId="957" totalsRowDxfId="956">
      <calculatedColumnFormula>Tabela11138304254[[#This Row],[Custo Projetado]]-Tabela11138304254[[#This Row],[Custo Real]]</calculatedColumnFormula>
    </tableColumn>
  </tableColumns>
  <tableStyleInfo name="TableStyleMedium23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F3633FD-E930-4D1C-B3CC-E72FE20AC40B}" name="Tabela5139314355" displayName="Tabela5139314355" ref="A42:D46" totalsRowCount="1" headerRowDxfId="955" dataDxfId="954" totalsRowDxfId="952" tableBorderDxfId="953">
  <autoFilter ref="A42:D45" xr:uid="{00000000-0009-0000-0100-00008A000000}"/>
  <tableColumns count="4">
    <tableColumn id="1" xr3:uid="{0F57AA56-935D-4937-A0F9-A5F33D1A8523}" name="ALIMENTAÇÃO" totalsRowLabel="Total" dataDxfId="951" totalsRowDxfId="950"/>
    <tableColumn id="2" xr3:uid="{EF14B430-D4C9-40A3-8243-4AA6970DD20B}" name="Custo Projetado" totalsRowFunction="sum" dataDxfId="949" totalsRowDxfId="948"/>
    <tableColumn id="3" xr3:uid="{FD6071D1-D7DC-44D2-9D3C-67C2C30B02C9}" name="Custo Real" totalsRowFunction="sum" dataDxfId="947" totalsRowDxfId="946"/>
    <tableColumn id="4" xr3:uid="{8465596A-2B1B-4D8A-BCBE-07B69D8C3F32}" name="Diferença" totalsRowFunction="sum" dataDxfId="945" totalsRowDxfId="944">
      <calculatedColumnFormula>Tabela5139314355[[#This Row],[Custo Projetado]]-Tabela5139314355[[#This Row],[Custo Real]]</calculatedColumnFormula>
    </tableColumn>
  </tableColumns>
  <tableStyleInfo name="TableStyleMedium23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1EA63D1-9A95-4612-95A8-62721BBFCAC9}" name="Tabela9140324456" displayName="Tabela9140324456" ref="F31:I36" totalsRowCount="1" headerRowDxfId="943" dataDxfId="942" totalsRowDxfId="940" tableBorderDxfId="941">
  <autoFilter ref="F31:I35" xr:uid="{00000000-0009-0000-0100-00008B000000}"/>
  <tableColumns count="4">
    <tableColumn id="1" xr3:uid="{09F7F2D2-DE61-4730-A4DE-ABE325066793}" name="IMPOSTOS" totalsRowLabel="Total" dataDxfId="939" totalsRowDxfId="938"/>
    <tableColumn id="2" xr3:uid="{CDAEB1F2-22E0-4D07-929C-B7229B838C51}" name="Custo Projetado" totalsRowFunction="sum" dataDxfId="937" totalsRowDxfId="936"/>
    <tableColumn id="3" xr3:uid="{BBF4AF85-D378-4CD7-8794-EA23F4EBF73E}" name="Custo Real" totalsRowFunction="sum" dataDxfId="935" totalsRowDxfId="934"/>
    <tableColumn id="4" xr3:uid="{0535314B-AFED-4DAA-A695-1F21FF67CFC3}" name="Diferença" totalsRowFunction="sum" dataDxfId="933" totalsRowDxfId="932">
      <calculatedColumnFormula>Tabela9140324456[[#This Row],[Custo Projetado]]-Tabela9140324456[[#This Row],[Custo Real]]</calculatedColumnFormula>
    </tableColumn>
  </tableColumns>
  <tableStyleInfo name="TableStyleMedium23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E7372E4-0B20-470E-8311-650159841B3E}" name="Tabela3141334557" displayName="Tabela3141334557" ref="A23:D33" totalsRowCount="1" headerRowDxfId="931" dataDxfId="930" totalsRowDxfId="928" tableBorderDxfId="929">
  <autoFilter ref="A23:D32" xr:uid="{00000000-0009-0000-0100-00008C000000}"/>
  <tableColumns count="4">
    <tableColumn id="1" xr3:uid="{0A23984B-1E48-4C67-B6A3-B147211C8726}" name="TRANSPORTE" totalsRowLabel="Total" dataDxfId="927" totalsRowDxfId="926"/>
    <tableColumn id="2" xr3:uid="{13059F96-5A22-47EA-B703-E89F325B6A0E}" name="Custo Projetado" totalsRowFunction="sum" dataDxfId="925" totalsRowDxfId="924"/>
    <tableColumn id="3" xr3:uid="{F596A2F9-D7F3-4270-B244-4C2EE3B95127}" name="Custo Real" totalsRowFunction="sum" dataDxfId="923" totalsRowDxfId="922"/>
    <tableColumn id="4" xr3:uid="{6D1C9EAE-3D7D-48F4-B3DF-96FCEC81DE86}" name="Diferença" totalsRowFunction="sum" dataDxfId="921" totalsRowDxfId="920">
      <calculatedColumnFormula>Tabela3141334557[[#This Row],[Custo Projetado]]-Tabela3141334557[[#This Row],[Custo Real]]</calculatedColumnFormula>
    </tableColumn>
  </tableColumns>
  <tableStyleInfo name="TableStyleMedium23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C058EDE-0D36-44A1-8C71-3AA9864CD17C}" name="Tabela8142344658" displayName="Tabela8142344658" ref="F22:I29" totalsRowCount="1" headerRowDxfId="919" dataDxfId="918" totalsRowDxfId="916" tableBorderDxfId="917">
  <autoFilter ref="F22:I28" xr:uid="{00000000-0009-0000-0100-00008D000000}"/>
  <tableColumns count="4">
    <tableColumn id="1" xr3:uid="{B5C91DCD-ACD9-4001-948F-FFBA78DEC39F}" name="EMPRÉSTIMOS" totalsRowLabel="Total" dataDxfId="915" totalsRowDxfId="323"/>
    <tableColumn id="2" xr3:uid="{8FB4D02A-380B-49D4-94C9-56AEBA9FB718}" name="Custo Projetado" totalsRowFunction="sum" dataDxfId="914" totalsRowDxfId="322"/>
    <tableColumn id="3" xr3:uid="{1AB76F7A-9FF1-429B-A679-1EB23A09674E}" name="Custo Real" totalsRowFunction="sum" dataDxfId="913" totalsRowDxfId="321"/>
    <tableColumn id="4" xr3:uid="{C4DE621A-CBCA-4260-8325-C5BA25D0C61C}" name="Diferença" totalsRowFunction="sum" dataDxfId="912" totalsRowDxfId="320">
      <calculatedColumnFormula>Tabela8142344658[[#This Row],[Custo Projetado]]-Tabela8142344658[[#This Row],[Custo Real]]</calculatedColumnFormula>
    </tableColumn>
  </tableColumns>
  <tableStyleInfo name="TableStyleMedium23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105B09F2-7153-4ABB-B9D5-5C6C2A2D947B}" name="Tabela10143354759" displayName="Tabela10143354759" ref="F38:I42" totalsRowCount="1" headerRowDxfId="911" dataDxfId="910" totalsRowDxfId="908" tableBorderDxfId="909">
  <autoFilter ref="F38:I41" xr:uid="{00000000-0009-0000-0100-00008E000000}"/>
  <tableColumns count="4">
    <tableColumn id="1" xr3:uid="{9F66A659-658A-4E3C-9737-04F5EA9B55EB}" name="ECONOMIAS OU INVESTIMENTOS" totalsRowLabel="Total" dataDxfId="907" totalsRowDxfId="906"/>
    <tableColumn id="2" xr3:uid="{DCBC76CD-C8E8-45C8-8691-7F6B82BC2325}" name="Custo Projetado" totalsRowFunction="sum" dataDxfId="905" totalsRowDxfId="904"/>
    <tableColumn id="3" xr3:uid="{BB78022E-799C-4F1B-960A-5366460C2832}" name="Custo Real" totalsRowFunction="sum" dataDxfId="903" totalsRowDxfId="902"/>
    <tableColumn id="4" xr3:uid="{6DB36C27-3B20-4907-8F62-FB14DF399E31}" name="Diferença" totalsRowFunction="sum" dataDxfId="901" totalsRowDxfId="900">
      <calculatedColumnFormula>Tabela10143354759[[#This Row],[Custo Projetado]]-Tabela10143354759[[#This Row],[Custo Real]]</calculatedColumnFormula>
    </tableColumn>
  </tableColumns>
  <tableStyleInfo name="TableStyleMedium23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8D12BD2F-DEDE-433B-89F8-4F82C04F0207}" name="Tabela7144364860" displayName="Tabela7144364860" ref="A56:D64" totalsRowCount="1" headerRowDxfId="899" dataDxfId="898" totalsRowDxfId="896" tableBorderDxfId="897">
  <autoFilter ref="A56:D63" xr:uid="{00000000-0009-0000-0100-00008F000000}"/>
  <tableColumns count="4">
    <tableColumn id="1" xr3:uid="{F1B9BA00-6915-4F8F-BBA5-21E1D3502162}" name="CUIDADOS PESSOAIS" totalsRowLabel="Total" dataDxfId="895" totalsRowDxfId="894"/>
    <tableColumn id="2" xr3:uid="{75CA8612-AB82-4645-9542-2B96D17AB9F2}" name="Custo Projetado" totalsRowFunction="sum" dataDxfId="893" totalsRowDxfId="892"/>
    <tableColumn id="3" xr3:uid="{14FA54BE-D437-44D0-98E8-C04EA522F253}" name="Custo Real" totalsRowFunction="sum" dataDxfId="891" totalsRowDxfId="890"/>
    <tableColumn id="4" xr3:uid="{E1A2A80B-C3A4-4DEA-8092-1FEDBA3FE3CC}" name="Diferença" totalsRowFunction="sum" dataDxfId="889" totalsRowDxfId="888">
      <calculatedColumnFormula>Tabela7144364860[[#This Row],[Custo Projetado]]-Tabela7144364860[[#This Row],[Custo Real]]</calculatedColumnFormula>
    </tableColumn>
  </tableColumns>
  <tableStyleInfo name="TableStyleMedium23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C0E899E-D9BE-4EBA-B1D4-E2A4CC88E126}" name="Tabela2145374961" displayName="Tabela2145374961" ref="F10:I20" totalsRowCount="1" headerRowDxfId="887" dataDxfId="886" totalsRowDxfId="884" tableBorderDxfId="885">
  <autoFilter ref="F10:I19" xr:uid="{00000000-0009-0000-0100-000090000000}"/>
  <tableColumns count="4">
    <tableColumn id="1" xr3:uid="{54D74154-770F-4460-AFD7-4DAAA2B15C63}" name="ENTRETENIMENTO" totalsRowLabel="Total" dataDxfId="883" totalsRowDxfId="882"/>
    <tableColumn id="2" xr3:uid="{AC7C429F-21F6-4358-9545-4B7344CFD4EC}" name="Custo Projetado" totalsRowFunction="sum" dataDxfId="881" totalsRowDxfId="880"/>
    <tableColumn id="3" xr3:uid="{611393BC-813D-426B-B8A7-435FCAF88279}" name="Custo Real" totalsRowFunction="sum" dataDxfId="879" totalsRowDxfId="878"/>
    <tableColumn id="4" xr3:uid="{F0B1FF51-56F5-410C-B234-E38FFB85F78F}" name="Diferença" totalsRowFunction="sum" dataDxfId="877" totalsRowDxfId="876">
      <calculatedColumnFormula>Tabela2145374961[[#This Row],[Custo Projetado]]-Tabela2145374961[[#This Row],[Custo Real]]</calculatedColumnFormula>
    </tableColumn>
  </tableColumns>
  <tableStyleInfo name="TableStyleMedium23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78958C35-C9E1-4688-A233-4057CABCBD49}" name="Tabela113426385086" displayName="Tabela113426385086" ref="A10:D21" totalsRowCount="1" headerRowDxfId="875" dataDxfId="874" totalsRowDxfId="872" tableBorderDxfId="873">
  <autoFilter ref="A10:D20" xr:uid="{00000000-0009-0000-0100-000085000000}"/>
  <tableColumns count="4">
    <tableColumn id="1" xr3:uid="{8EF9364A-801F-41AB-A370-656A548D3EE8}" name="MORADIA" totalsRowLabel="Total" dataDxfId="871" totalsRowDxfId="23"/>
    <tableColumn id="2" xr3:uid="{3CE38ED8-15BC-4AA5-A5C6-5054BE0485B5}" name="Custo Projetado" totalsRowFunction="sum" dataDxfId="870" totalsRowDxfId="22"/>
    <tableColumn id="3" xr3:uid="{D52D4FD2-80A7-40EA-AFD3-F23AFFE1CF80}" name="Custo Real" totalsRowFunction="sum" dataDxfId="869" totalsRowDxfId="21"/>
    <tableColumn id="4" xr3:uid="{9E53C177-05CA-45DF-857F-4039CD52539A}" name="Diferença" totalsRowFunction="sum" dataDxfId="868" totalsRowDxfId="20">
      <calculatedColumnFormula>Tabela113426385086[[#This Row],[Custo Projetado]]-Tabela113426385086[[#This Row],[Custo Real]]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1C000000}" name="Tabela11138" displayName="Tabela11138" ref="F44:I48" totalsRowCount="1" headerRowDxfId="1391" dataDxfId="1390" totalsRowDxfId="1388" tableBorderDxfId="1389">
  <autoFilter ref="F44:I47" xr:uid="{00000000-0009-0000-0100-000089000000}"/>
  <tableColumns count="4">
    <tableColumn id="1" xr3:uid="{00000000-0010-0000-1C00-000001000000}" name="PRESENTES E DOAÇÕES" totalsRowLabel="Total" dataDxfId="1387" totalsRowDxfId="1386"/>
    <tableColumn id="2" xr3:uid="{00000000-0010-0000-1C00-000002000000}" name="Custo Projetado" totalsRowFunction="sum" dataDxfId="1385" totalsRowDxfId="1384"/>
    <tableColumn id="3" xr3:uid="{00000000-0010-0000-1C00-000003000000}" name="Custo Real" totalsRowFunction="sum" dataDxfId="1383" totalsRowDxfId="1382"/>
    <tableColumn id="4" xr3:uid="{00000000-0010-0000-1C00-000004000000}" name="Diferença" totalsRowFunction="sum" dataDxfId="1381" totalsRowDxfId="1380">
      <calculatedColumnFormula>Tabela11138[[#This Row],[Custo Projetado]]-Tabela11138[[#This Row],[Custo Real]]</calculatedColumnFormula>
    </tableColumn>
  </tableColumns>
  <tableStyleInfo name="TableStyleMedium23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1ED34E82-70C3-4F31-869B-34F04079D412}" name="Tabela413527395187" displayName="Tabela413527395187" ref="A35:D40" totalsRowCount="1" headerRowDxfId="867" dataDxfId="866" totalsRowDxfId="864" tableBorderDxfId="865">
  <autoFilter ref="A35:D39" xr:uid="{00000000-0009-0000-0100-000086000000}"/>
  <tableColumns count="4">
    <tableColumn id="1" xr3:uid="{FF512275-0532-47AF-BCCE-1B6D28976B95}" name="SEGURO" totalsRowLabel="Total" dataDxfId="863" totalsRowDxfId="862"/>
    <tableColumn id="2" xr3:uid="{8F43267C-1FBC-4DB0-B18E-E105492355A9}" name="Custo Projetado" totalsRowFunction="sum" dataDxfId="861" totalsRowDxfId="860"/>
    <tableColumn id="3" xr3:uid="{4CE70679-A065-44D6-902D-7D203D9FCBA8}" name="Custo Real" totalsRowFunction="sum" dataDxfId="859" totalsRowDxfId="858"/>
    <tableColumn id="4" xr3:uid="{0FB5F4B7-E3B3-4D06-B361-18276EFDE6AD}" name="Diferença" totalsRowFunction="sum" dataDxfId="857" totalsRowDxfId="856">
      <calculatedColumnFormula>Tabela413527395187[[#This Row],[Custo Projetado]]-Tabela413527395187[[#This Row],[Custo Real]]</calculatedColumnFormula>
    </tableColumn>
  </tableColumns>
  <tableStyleInfo name="TableStyleMedium23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7A713F12-B61B-4CC4-B079-4ECA48647F12}" name="Tabela1213628405288" displayName="Tabela1213628405288" ref="F50:I55" totalsRowCount="1" headerRowDxfId="855" dataDxfId="854" totalsRowDxfId="852" tableBorderDxfId="853">
  <autoFilter ref="F50:I54" xr:uid="{00000000-0009-0000-0100-000087000000}"/>
  <tableColumns count="4">
    <tableColumn id="1" xr3:uid="{DE5BE1CA-DADD-404B-947F-1A4479F3A205}" name="LEGAL" totalsRowLabel="Total" dataDxfId="851" totalsRowDxfId="850"/>
    <tableColumn id="2" xr3:uid="{0E0770CD-AC6F-48A9-AA6C-0CFCA446E72A}" name="Custo Projetado" totalsRowFunction="sum" dataDxfId="849" totalsRowDxfId="848"/>
    <tableColumn id="3" xr3:uid="{4CEC8295-9EF0-4A68-B852-DF3E936BCAA0}" name="Custo Real" totalsRowFunction="sum" dataDxfId="847" totalsRowDxfId="846"/>
    <tableColumn id="4" xr3:uid="{7FB10E76-3FEA-4E19-89BB-63C84335DC63}" name="Diferença" totalsRowFunction="sum" dataDxfId="845" totalsRowDxfId="844">
      <calculatedColumnFormula>Tabela1213628405288[[#This Row],[Custo Projetado]]-Tabela1213628405288[[#This Row],[Custo Real]]</calculatedColumnFormula>
    </tableColumn>
  </tableColumns>
  <tableStyleInfo name="TableStyleMedium23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C810990E-74E4-43BD-B8FA-D219A73645BA}" name="Tabela613729415389" displayName="Tabela613729415389" ref="A48:D54" totalsRowCount="1" headerRowDxfId="843" dataDxfId="842" totalsRowDxfId="840" tableBorderDxfId="841">
  <autoFilter ref="A48:D53" xr:uid="{00000000-0009-0000-0100-000088000000}"/>
  <tableColumns count="4">
    <tableColumn id="1" xr3:uid="{3D159DCA-C312-428A-A361-68CEFD1D0E98}" name="ANIMAIS DE ESTIMAÇÃO" totalsRowLabel="Total" dataDxfId="839" totalsRowDxfId="838"/>
    <tableColumn id="2" xr3:uid="{ABF2FB76-A68A-4DD7-B7DF-30A043113680}" name="Custo Projetado" totalsRowFunction="sum" dataDxfId="837" totalsRowDxfId="836"/>
    <tableColumn id="3" xr3:uid="{CAB0D330-0A30-48CF-9CCA-8BEB061F83FD}" name="Custo Real" totalsRowFunction="sum" dataDxfId="835" totalsRowDxfId="834"/>
    <tableColumn id="4" xr3:uid="{48E5EC2F-A057-43D9-A55E-4F464B886BD1}" name="Diferença" totalsRowFunction="sum" dataDxfId="833" totalsRowDxfId="832">
      <calculatedColumnFormula>Tabela613729415389[[#This Row],[Custo Projetado]]-Tabela613729415389[[#This Row],[Custo Real]]</calculatedColumnFormula>
    </tableColumn>
  </tableColumns>
  <tableStyleInfo name="TableStyleMedium23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4FD5C19A-DC50-4125-BDE1-06E080E6BEE1}" name="Tabela1113830425490" displayName="Tabela1113830425490" ref="F44:I48" totalsRowCount="1" headerRowDxfId="831" dataDxfId="830" totalsRowDxfId="828" tableBorderDxfId="829">
  <autoFilter ref="F44:I47" xr:uid="{00000000-0009-0000-0100-000089000000}"/>
  <tableColumns count="4">
    <tableColumn id="1" xr3:uid="{4B03B5FF-4201-4D3C-9A38-961A0EE28BDB}" name="PRESENTES E DOAÇÕES" totalsRowLabel="Total" dataDxfId="827" totalsRowDxfId="826"/>
    <tableColumn id="2" xr3:uid="{A8C460F9-6F96-4D90-8FD3-04A499654DDA}" name="Custo Projetado" totalsRowFunction="sum" dataDxfId="825" totalsRowDxfId="824"/>
    <tableColumn id="3" xr3:uid="{2584AED2-311F-450F-B095-A264B4BC1AD7}" name="Custo Real" totalsRowFunction="sum" dataDxfId="823" totalsRowDxfId="822"/>
    <tableColumn id="4" xr3:uid="{E54EC336-E239-441E-9267-18660CE0260F}" name="Diferença" totalsRowFunction="sum" dataDxfId="821" totalsRowDxfId="820">
      <calculatedColumnFormula>Tabela1113830425490[[#This Row],[Custo Projetado]]-Tabela1113830425490[[#This Row],[Custo Real]]</calculatedColumnFormula>
    </tableColumn>
  </tableColumns>
  <tableStyleInfo name="TableStyleMedium23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B7B86CB0-14DA-4F19-89F0-6643C85C3A97}" name="Tabela513931435591" displayName="Tabela513931435591" ref="A42:D46" totalsRowCount="1" headerRowDxfId="819" dataDxfId="818" totalsRowDxfId="816" tableBorderDxfId="817">
  <autoFilter ref="A42:D45" xr:uid="{00000000-0009-0000-0100-00008A000000}"/>
  <tableColumns count="4">
    <tableColumn id="1" xr3:uid="{D57D51AF-26A7-4EDC-B80C-D5E26AD24299}" name="ALIMENTAÇÃO" totalsRowLabel="Total" dataDxfId="815" totalsRowDxfId="814"/>
    <tableColumn id="2" xr3:uid="{A3B77483-A0D0-479C-A1F0-61F5BFB49A72}" name="Custo Projetado" totalsRowFunction="sum" dataDxfId="813" totalsRowDxfId="812"/>
    <tableColumn id="3" xr3:uid="{043E4DDB-8BFE-4E07-B493-6193278EFE0B}" name="Custo Real" totalsRowFunction="sum" dataDxfId="811" totalsRowDxfId="810"/>
    <tableColumn id="4" xr3:uid="{11CEF2EB-8150-4B86-97F2-4F727BC5A411}" name="Diferença" totalsRowFunction="sum" dataDxfId="809" totalsRowDxfId="808">
      <calculatedColumnFormula>Tabela513931435591[[#This Row],[Custo Projetado]]-Tabela513931435591[[#This Row],[Custo Real]]</calculatedColumnFormula>
    </tableColumn>
  </tableColumns>
  <tableStyleInfo name="TableStyleMedium23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BCE44683-3A68-4B5F-8134-82A379CBE462}" name="Tabela914032445692" displayName="Tabela914032445692" ref="F31:I36" totalsRowCount="1" headerRowDxfId="807" dataDxfId="806" totalsRowDxfId="804" tableBorderDxfId="805">
  <autoFilter ref="F31:I35" xr:uid="{00000000-0009-0000-0100-00008B000000}"/>
  <tableColumns count="4">
    <tableColumn id="1" xr3:uid="{83C8554E-3AB4-4087-8EB9-01790D922015}" name="IMPOSTOS" totalsRowLabel="Total" dataDxfId="803" totalsRowDxfId="802"/>
    <tableColumn id="2" xr3:uid="{1925BDE7-CFDE-43B5-843C-C3B8B3DAD9DF}" name="Custo Projetado" totalsRowFunction="sum" dataDxfId="801" totalsRowDxfId="800"/>
    <tableColumn id="3" xr3:uid="{CDA0F309-A988-41B1-A8B3-B041AD778E10}" name="Custo Real" totalsRowFunction="sum" dataDxfId="799" totalsRowDxfId="798"/>
    <tableColumn id="4" xr3:uid="{91CEEC6E-B4E7-4BF5-B64E-F3CAF7D55920}" name="Diferença" totalsRowFunction="sum" dataDxfId="797" totalsRowDxfId="796">
      <calculatedColumnFormula>Tabela914032445692[[#This Row],[Custo Projetado]]-Tabela914032445692[[#This Row],[Custo Real]]</calculatedColumnFormula>
    </tableColumn>
  </tableColumns>
  <tableStyleInfo name="TableStyleMedium23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D6839F13-F715-43A1-941E-906E0F9DE875}" name="Tabela314133455793" displayName="Tabela314133455793" ref="A23:D33" totalsRowCount="1" headerRowDxfId="795" dataDxfId="794" totalsRowDxfId="792" tableBorderDxfId="793">
  <autoFilter ref="A23:D32" xr:uid="{00000000-0009-0000-0100-00008C000000}"/>
  <tableColumns count="4">
    <tableColumn id="1" xr3:uid="{38E5A738-9696-4F18-BC70-18694B6AECE2}" name="TRANSPORTE" totalsRowLabel="Total" dataDxfId="791" totalsRowDxfId="790"/>
    <tableColumn id="2" xr3:uid="{5B61419C-1878-4247-8F9D-B62652079D37}" name="Custo Projetado" totalsRowFunction="sum" dataDxfId="789" totalsRowDxfId="788"/>
    <tableColumn id="3" xr3:uid="{C674ECFD-ECFC-4725-AD5D-DC419F26E7EB}" name="Custo Real" totalsRowFunction="sum" dataDxfId="787" totalsRowDxfId="786"/>
    <tableColumn id="4" xr3:uid="{B3D685E0-56C7-4AFB-A2CC-E7D4B2EDBA1C}" name="Diferença" totalsRowFunction="sum" dataDxfId="785" totalsRowDxfId="784">
      <calculatedColumnFormula>Tabela314133455793[[#This Row],[Custo Projetado]]-Tabela314133455793[[#This Row],[Custo Real]]</calculatedColumnFormula>
    </tableColumn>
  </tableColumns>
  <tableStyleInfo name="TableStyleMedium23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B0D013AD-A2A7-44BD-9735-8479F35D401B}" name="Tabela814234465894" displayName="Tabela814234465894" ref="F22:I29" totalsRowCount="1" headerRowDxfId="783" dataDxfId="782" totalsRowDxfId="780" tableBorderDxfId="781">
  <autoFilter ref="F22:I28" xr:uid="{00000000-0009-0000-0100-00008D000000}"/>
  <tableColumns count="4">
    <tableColumn id="1" xr3:uid="{1CBAF583-D7FD-42FA-A53C-2AE02CC29171}" name="EMPRÉSTIMOS" totalsRowLabel="Total" dataDxfId="779" totalsRowDxfId="319"/>
    <tableColumn id="2" xr3:uid="{7032B5B0-081D-427A-905C-D629C98A1BB2}" name="Custo Projetado" totalsRowFunction="sum" dataDxfId="778" totalsRowDxfId="318"/>
    <tableColumn id="3" xr3:uid="{33024BE4-4DFA-4CEE-8871-2A54CAC60390}" name="Custo Real" totalsRowFunction="sum" dataDxfId="777" totalsRowDxfId="317"/>
    <tableColumn id="4" xr3:uid="{0B91A8E4-084A-42B7-B3B1-0404BEDF2814}" name="Diferença" totalsRowFunction="sum" dataDxfId="776" totalsRowDxfId="316">
      <calculatedColumnFormula>Tabela814234465894[[#This Row],[Custo Projetado]]-Tabela814234465894[[#This Row],[Custo Real]]</calculatedColumnFormula>
    </tableColumn>
  </tableColumns>
  <tableStyleInfo name="TableStyleMedium23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FC2F6445-E143-4EF2-A5F9-4949BF169D81}" name="Tabela1014335475995" displayName="Tabela1014335475995" ref="F38:I42" totalsRowCount="1" headerRowDxfId="775" dataDxfId="774" totalsRowDxfId="772" tableBorderDxfId="773">
  <autoFilter ref="F38:I41" xr:uid="{00000000-0009-0000-0100-00008E000000}"/>
  <tableColumns count="4">
    <tableColumn id="1" xr3:uid="{347B3387-8011-417B-95C2-BDE4A854AA6F}" name="ECONOMIAS OU INVESTIMENTOS" totalsRowLabel="Total" dataDxfId="771" totalsRowDxfId="770"/>
    <tableColumn id="2" xr3:uid="{8E9A10A7-08E0-4968-B22D-2CA1CA877618}" name="Custo Projetado" totalsRowFunction="sum" dataDxfId="769" totalsRowDxfId="768"/>
    <tableColumn id="3" xr3:uid="{CC3D0DF7-2059-4848-90C4-C64B464688CA}" name="Custo Real" totalsRowFunction="sum" dataDxfId="767" totalsRowDxfId="766"/>
    <tableColumn id="4" xr3:uid="{C52A77F4-F4C9-4DA7-A0AF-E04F3BA37E8C}" name="Diferença" totalsRowFunction="sum" dataDxfId="765" totalsRowDxfId="764">
      <calculatedColumnFormula>Tabela1014335475995[[#This Row],[Custo Projetado]]-Tabela1014335475995[[#This Row],[Custo Real]]</calculatedColumnFormula>
    </tableColumn>
  </tableColumns>
  <tableStyleInfo name="TableStyleMedium23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DF04D8C5-F412-4608-AAF6-A016BBE67B55}" name="Tabela714436486096" displayName="Tabela714436486096" ref="A56:D64" totalsRowCount="1" headerRowDxfId="763" dataDxfId="762" totalsRowDxfId="760" tableBorderDxfId="761">
  <autoFilter ref="A56:D63" xr:uid="{00000000-0009-0000-0100-00008F000000}"/>
  <tableColumns count="4">
    <tableColumn id="1" xr3:uid="{8F6743B3-E17A-4278-B2C8-F522AE4900E7}" name="CUIDADOS PESSOAIS" totalsRowLabel="Total" dataDxfId="759" totalsRowDxfId="758"/>
    <tableColumn id="2" xr3:uid="{91F2F93D-04A3-4B78-866F-9DC27CD6CD4A}" name="Custo Projetado" totalsRowFunction="sum" dataDxfId="757" totalsRowDxfId="756"/>
    <tableColumn id="3" xr3:uid="{5F1CCC9B-C10F-4A2D-81BC-FE83907DC199}" name="Custo Real" totalsRowFunction="sum" dataDxfId="755" totalsRowDxfId="754"/>
    <tableColumn id="4" xr3:uid="{CBDB6F13-E677-4106-80DC-157919926431}" name="Diferença" totalsRowFunction="sum" dataDxfId="753" totalsRowDxfId="752">
      <calculatedColumnFormula>Tabela714436486096[[#This Row],[Custo Projetado]]-Tabela714436486096[[#This Row],[Custo Real]]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1D000000}" name="Tabela5139" displayName="Tabela5139" ref="A42:D46" totalsRowCount="1" headerRowDxfId="1379" dataDxfId="1378" totalsRowDxfId="1376" tableBorderDxfId="1377">
  <autoFilter ref="A42:D45" xr:uid="{00000000-0009-0000-0100-00008A000000}"/>
  <tableColumns count="4">
    <tableColumn id="1" xr3:uid="{00000000-0010-0000-1D00-000001000000}" name="ALIMENTAÇÃO" totalsRowLabel="Total" dataDxfId="1375" totalsRowDxfId="1374"/>
    <tableColumn id="2" xr3:uid="{00000000-0010-0000-1D00-000002000000}" name="Custo Projetado" totalsRowFunction="sum" dataDxfId="1373" totalsRowDxfId="1372"/>
    <tableColumn id="3" xr3:uid="{00000000-0010-0000-1D00-000003000000}" name="Custo Real" totalsRowFunction="sum" dataDxfId="1371" totalsRowDxfId="1370"/>
    <tableColumn id="4" xr3:uid="{00000000-0010-0000-1D00-000004000000}" name="Diferença" totalsRowFunction="sum" dataDxfId="1369" totalsRowDxfId="1368">
      <calculatedColumnFormula>Tabela5139[[#This Row],[Custo Projetado]]-Tabela5139[[#This Row],[Custo Real]]</calculatedColumnFormula>
    </tableColumn>
  </tableColumns>
  <tableStyleInfo name="TableStyleMedium23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3363ABE-0F43-40C6-B854-2CB421563713}" name="Tabela214537496197" displayName="Tabela214537496197" ref="F10:I20" totalsRowCount="1" headerRowDxfId="751" dataDxfId="750" totalsRowDxfId="748" tableBorderDxfId="749">
  <autoFilter ref="F10:I19" xr:uid="{00000000-0009-0000-0100-000090000000}"/>
  <tableColumns count="4">
    <tableColumn id="1" xr3:uid="{8F0F1EAC-2BD8-4A74-A5D2-EEF3A208CEB8}" name="ENTRETENIMENTO" totalsRowLabel="Total" dataDxfId="747" totalsRowDxfId="746"/>
    <tableColumn id="2" xr3:uid="{3EB0F81D-EFD5-4221-824F-A6F841A1FFC7}" name="Custo Projetado" totalsRowFunction="sum" dataDxfId="745" totalsRowDxfId="744"/>
    <tableColumn id="3" xr3:uid="{94A2CFB3-9534-472E-85C9-1618E3AF16F1}" name="Custo Real" totalsRowFunction="sum" dataDxfId="743" totalsRowDxfId="742"/>
    <tableColumn id="4" xr3:uid="{DB80B990-65DF-487B-9DF2-337A0B30E538}" name="Diferença" totalsRowFunction="sum" dataDxfId="741" totalsRowDxfId="740">
      <calculatedColumnFormula>Tabela214537496197[[#This Row],[Custo Projetado]]-Tabela214537496197[[#This Row],[Custo Real]]</calculatedColumnFormula>
    </tableColumn>
  </tableColumns>
  <tableStyleInfo name="TableStyleMedium23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CDCB0510-50D6-4C30-BC6D-C29A3685DFC9}" name="Tabela113426385086146" displayName="Tabela113426385086146" ref="A10:D21" totalsRowCount="1" headerRowDxfId="739" dataDxfId="738" totalsRowDxfId="736" tableBorderDxfId="737">
  <autoFilter ref="A10:D20" xr:uid="{00000000-0009-0000-0100-000085000000}"/>
  <tableColumns count="4">
    <tableColumn id="1" xr3:uid="{44A4B799-E032-4C3E-8596-9BDCDED0AC89}" name="MORADIA" totalsRowLabel="Total" dataDxfId="735" totalsRowDxfId="19"/>
    <tableColumn id="2" xr3:uid="{0EA64FBB-9C7D-4B54-9AA1-6C379BFA22A7}" name="Custo Projetado" totalsRowFunction="sum" dataDxfId="734" totalsRowDxfId="18"/>
    <tableColumn id="3" xr3:uid="{B6BF1007-0C99-4C1A-97E0-5455C6C2B76B}" name="Custo Real" totalsRowFunction="sum" dataDxfId="733" totalsRowDxfId="17"/>
    <tableColumn id="4" xr3:uid="{69E3A215-DACD-4B02-95D6-84CF31E6E463}" name="Diferença" totalsRowFunction="sum" dataDxfId="732" totalsRowDxfId="16">
      <calculatedColumnFormula>Tabela113426385086146[[#This Row],[Custo Projetado]]-Tabela113426385086146[[#This Row],[Custo Real]]</calculatedColumnFormula>
    </tableColumn>
  </tableColumns>
  <tableStyleInfo name="TableStyleMedium23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7672CED4-5E6E-4309-867F-C46A3573E224}" name="Tabela413527395187147" displayName="Tabela413527395187147" ref="A35:D40" totalsRowCount="1" headerRowDxfId="731" dataDxfId="730" totalsRowDxfId="728" tableBorderDxfId="729">
  <autoFilter ref="A35:D39" xr:uid="{00000000-0009-0000-0100-000086000000}"/>
  <tableColumns count="4">
    <tableColumn id="1" xr3:uid="{3C34F498-9D5B-4C5F-86D6-70E822AA322C}" name="SEGURO" totalsRowLabel="Total" dataDxfId="727" totalsRowDxfId="726"/>
    <tableColumn id="2" xr3:uid="{4A74E878-C626-4132-B1B0-10C398BBCC48}" name="Custo Projetado" totalsRowFunction="sum" dataDxfId="725" totalsRowDxfId="724"/>
    <tableColumn id="3" xr3:uid="{9BAD5D68-7523-4EEF-923C-14812B6279D5}" name="Custo Real" totalsRowFunction="sum" dataDxfId="723" totalsRowDxfId="722"/>
    <tableColumn id="4" xr3:uid="{4CFC5021-76ED-4148-9475-42D164AB810C}" name="Diferença" totalsRowFunction="sum" dataDxfId="721" totalsRowDxfId="720">
      <calculatedColumnFormula>Tabela413527395187147[[#This Row],[Custo Projetado]]-Tabela413527395187147[[#This Row],[Custo Real]]</calculatedColumnFormula>
    </tableColumn>
  </tableColumns>
  <tableStyleInfo name="TableStyleMedium23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F5B57DBF-C72A-4D10-A9C7-58D591F09956}" name="Tabela1213628405288148" displayName="Tabela1213628405288148" ref="F50:I55" totalsRowCount="1" headerRowDxfId="719" dataDxfId="718" totalsRowDxfId="716" tableBorderDxfId="717">
  <autoFilter ref="F50:I54" xr:uid="{00000000-0009-0000-0100-000087000000}"/>
  <tableColumns count="4">
    <tableColumn id="1" xr3:uid="{CE647EDA-B044-4B9A-BD9D-61237812566F}" name="LEGAL" totalsRowLabel="Total" dataDxfId="715" totalsRowDxfId="714"/>
    <tableColumn id="2" xr3:uid="{E778B3E9-AB1A-4E9C-B470-118FC89E93A1}" name="Custo Projetado" totalsRowFunction="sum" dataDxfId="713" totalsRowDxfId="712"/>
    <tableColumn id="3" xr3:uid="{1577F2AD-AE5B-486F-84B5-2C04101B1A9D}" name="Custo Real" totalsRowFunction="sum" dataDxfId="711" totalsRowDxfId="710"/>
    <tableColumn id="4" xr3:uid="{C3C33E80-6DB8-49EC-86C5-94011E55BF6E}" name="Diferença" totalsRowFunction="sum" dataDxfId="709" totalsRowDxfId="708">
      <calculatedColumnFormula>Tabela1213628405288148[[#This Row],[Custo Projetado]]-Tabela1213628405288148[[#This Row],[Custo Real]]</calculatedColumnFormula>
    </tableColumn>
  </tableColumns>
  <tableStyleInfo name="TableStyleMedium23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723E0D1B-981A-4A5C-8F62-64E610C7A69A}" name="Tabela613729415389149" displayName="Tabela613729415389149" ref="A48:D54" totalsRowCount="1" headerRowDxfId="707" dataDxfId="706" totalsRowDxfId="704" tableBorderDxfId="705">
  <autoFilter ref="A48:D53" xr:uid="{00000000-0009-0000-0100-000088000000}"/>
  <tableColumns count="4">
    <tableColumn id="1" xr3:uid="{74E6BA09-E7EB-46FA-AA8A-3116252A67BD}" name="ANIMAIS DE ESTIMAÇÃO" totalsRowLabel="Total" dataDxfId="703" totalsRowDxfId="702"/>
    <tableColumn id="2" xr3:uid="{A1B61DBA-AD35-47E2-B474-542C4961931E}" name="Custo Projetado" totalsRowFunction="sum" dataDxfId="701" totalsRowDxfId="700"/>
    <tableColumn id="3" xr3:uid="{0F1BD104-4A1A-4208-B1BB-9C5B1145ED28}" name="Custo Real" totalsRowFunction="sum" dataDxfId="699" totalsRowDxfId="698"/>
    <tableColumn id="4" xr3:uid="{E0080BC6-CC57-4B53-B992-E4DA10BBCC55}" name="Diferença" totalsRowFunction="sum" dataDxfId="697" totalsRowDxfId="696">
      <calculatedColumnFormula>Tabela613729415389149[[#This Row],[Custo Projetado]]-Tabela613729415389149[[#This Row],[Custo Real]]</calculatedColumnFormula>
    </tableColumn>
  </tableColumns>
  <tableStyleInfo name="TableStyleMedium23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BF99288A-005D-4EFC-8534-46EC127F142E}" name="Tabela1113830425490150" displayName="Tabela1113830425490150" ref="F44:I48" totalsRowCount="1" headerRowDxfId="695" dataDxfId="694" totalsRowDxfId="692" tableBorderDxfId="693">
  <autoFilter ref="F44:I47" xr:uid="{00000000-0009-0000-0100-000089000000}"/>
  <tableColumns count="4">
    <tableColumn id="1" xr3:uid="{FF0A6AC4-422C-4DFE-B010-2A83241E0450}" name="PRESENTES E DOAÇÕES" totalsRowLabel="Total" dataDxfId="691" totalsRowDxfId="690"/>
    <tableColumn id="2" xr3:uid="{D12E5148-B1CC-4471-AB93-E732F9A91292}" name="Custo Projetado" totalsRowFunction="sum" dataDxfId="689" totalsRowDxfId="688"/>
    <tableColumn id="3" xr3:uid="{72DD894E-F954-4787-8D24-9910F37E3B20}" name="Custo Real" totalsRowFunction="sum" dataDxfId="687" totalsRowDxfId="686"/>
    <tableColumn id="4" xr3:uid="{C5434596-CF1D-43C1-B7CF-CB66D1171C90}" name="Diferença" totalsRowFunction="sum" dataDxfId="685" totalsRowDxfId="684">
      <calculatedColumnFormula>Tabela1113830425490150[[#This Row],[Custo Projetado]]-Tabela1113830425490150[[#This Row],[Custo Real]]</calculatedColumnFormula>
    </tableColumn>
  </tableColumns>
  <tableStyleInfo name="TableStyleMedium23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5FAAB5F0-1D09-4AD6-ADC0-5BCBE6E4EC67}" name="Tabela513931435591151" displayName="Tabela513931435591151" ref="A42:D46" totalsRowCount="1" headerRowDxfId="683" dataDxfId="682" totalsRowDxfId="680" tableBorderDxfId="681">
  <autoFilter ref="A42:D45" xr:uid="{00000000-0009-0000-0100-00008A000000}"/>
  <tableColumns count="4">
    <tableColumn id="1" xr3:uid="{3D1561BF-18BE-4C12-A3DF-5207C3BA24B4}" name="ALIMENTAÇÃO" totalsRowLabel="Total" dataDxfId="679" totalsRowDxfId="678"/>
    <tableColumn id="2" xr3:uid="{2C685584-A3BD-4A25-83D2-E91E2D95F48F}" name="Custo Projetado" totalsRowFunction="sum" dataDxfId="677" totalsRowDxfId="676"/>
    <tableColumn id="3" xr3:uid="{7E0FDC82-5361-4845-8ADD-8FC73DE89DB4}" name="Custo Real" totalsRowFunction="sum" dataDxfId="675" totalsRowDxfId="674"/>
    <tableColumn id="4" xr3:uid="{84609BCB-45DF-41AE-983A-4E3FC29AD1C9}" name="Diferença" totalsRowFunction="sum" dataDxfId="673" totalsRowDxfId="672">
      <calculatedColumnFormula>Tabela513931435591151[[#This Row],[Custo Projetado]]-Tabela513931435591151[[#This Row],[Custo Real]]</calculatedColumnFormula>
    </tableColumn>
  </tableColumns>
  <tableStyleInfo name="TableStyleMedium23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EAD8072B-5D3A-4A75-8CC9-137766434FB5}" name="Tabela914032445692152" displayName="Tabela914032445692152" ref="F31:I36" totalsRowCount="1" headerRowDxfId="671" dataDxfId="670" totalsRowDxfId="668" tableBorderDxfId="669">
  <autoFilter ref="F31:I35" xr:uid="{00000000-0009-0000-0100-00008B000000}"/>
  <tableColumns count="4">
    <tableColumn id="1" xr3:uid="{90546B5D-4AA8-481E-BFFD-64A59CCC9E3C}" name="IMPOSTOS" totalsRowLabel="Total" dataDxfId="667" totalsRowDxfId="666"/>
    <tableColumn id="2" xr3:uid="{18334FD0-6593-4DC3-B891-4C106450D7FF}" name="Custo Projetado" totalsRowFunction="sum" dataDxfId="665" totalsRowDxfId="664"/>
    <tableColumn id="3" xr3:uid="{D509AF69-D3CA-45D0-AFD3-7B2ADB667F18}" name="Custo Real" totalsRowFunction="sum" dataDxfId="663" totalsRowDxfId="662"/>
    <tableColumn id="4" xr3:uid="{1044EACA-54B0-447A-9F5D-A1B3ECBD0EE5}" name="Diferença" totalsRowFunction="sum" dataDxfId="661" totalsRowDxfId="660">
      <calculatedColumnFormula>Tabela914032445692152[[#This Row],[Custo Projetado]]-Tabela914032445692152[[#This Row],[Custo Real]]</calculatedColumnFormula>
    </tableColumn>
  </tableColumns>
  <tableStyleInfo name="TableStyleMedium23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7FA9A35D-E19F-430E-9747-81932F9A79ED}" name="Tabela314133455793153" displayName="Tabela314133455793153" ref="A23:D33" totalsRowCount="1" headerRowDxfId="659" dataDxfId="658" totalsRowDxfId="656" tableBorderDxfId="657">
  <autoFilter ref="A23:D32" xr:uid="{00000000-0009-0000-0100-00008C000000}"/>
  <tableColumns count="4">
    <tableColumn id="1" xr3:uid="{936172E0-638C-4D2A-BA05-9A542412A53C}" name="TRANSPORTE" totalsRowLabel="Total" dataDxfId="655" totalsRowDxfId="654"/>
    <tableColumn id="2" xr3:uid="{AA1FE1AC-32B6-430E-91CD-E613EEFA2297}" name="Custo Projetado" totalsRowFunction="sum" dataDxfId="653" totalsRowDxfId="652"/>
    <tableColumn id="3" xr3:uid="{32DC0024-6161-49CA-A660-C889046B7F26}" name="Custo Real" totalsRowFunction="sum" dataDxfId="651" totalsRowDxfId="650"/>
    <tableColumn id="4" xr3:uid="{E9660CA4-4739-4F6F-B44C-B5823530C07D}" name="Diferença" totalsRowFunction="sum" dataDxfId="649" totalsRowDxfId="648">
      <calculatedColumnFormula>Tabela314133455793153[[#This Row],[Custo Projetado]]-Tabela314133455793153[[#This Row],[Custo Real]]</calculatedColumnFormula>
    </tableColumn>
  </tableColumns>
  <tableStyleInfo name="TableStyleMedium23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2EE5A847-76DB-4E69-BF73-C136A94D4CF8}" name="Tabela814234465894154" displayName="Tabela814234465894154" ref="F22:I29" totalsRowCount="1" headerRowDxfId="647" dataDxfId="646" totalsRowDxfId="644" tableBorderDxfId="645">
  <autoFilter ref="F22:I28" xr:uid="{00000000-0009-0000-0100-00008D000000}"/>
  <tableColumns count="4">
    <tableColumn id="1" xr3:uid="{A9F1943D-639E-4CFD-A906-6C0D56E818BE}" name="EMPRÉSTIMOS" totalsRowLabel="Total" dataDxfId="643" totalsRowDxfId="171"/>
    <tableColumn id="2" xr3:uid="{7536CA94-F3AF-4EB0-B63E-7CA855457938}" name="Custo Projetado" totalsRowFunction="sum" dataDxfId="642" totalsRowDxfId="170"/>
    <tableColumn id="3" xr3:uid="{D2B9FF46-8200-47A7-A1DA-2499BCA2AF84}" name="Custo Real" totalsRowFunction="sum" dataDxfId="641" totalsRowDxfId="169"/>
    <tableColumn id="4" xr3:uid="{F45B5C7E-3381-4D6B-B011-C6ABABB0B3B2}" name="Diferença" totalsRowFunction="sum" dataDxfId="640" totalsRowDxfId="168">
      <calculatedColumnFormula>Tabela814234465894154[[#This Row],[Custo Projetado]]-Tabela814234465894154[[#This Row],[Custo Real]]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1E000000}" name="Tabela9140" displayName="Tabela9140" ref="F31:I36" totalsRowCount="1" headerRowDxfId="1367" dataDxfId="1366" totalsRowDxfId="1364" tableBorderDxfId="1365">
  <autoFilter ref="F31:I35" xr:uid="{00000000-0009-0000-0100-00008B000000}"/>
  <tableColumns count="4">
    <tableColumn id="1" xr3:uid="{00000000-0010-0000-1E00-000001000000}" name="IMPOSTOS" totalsRowLabel="Total" dataDxfId="1363" totalsRowDxfId="1362"/>
    <tableColumn id="2" xr3:uid="{00000000-0010-0000-1E00-000002000000}" name="Custo Projetado" totalsRowFunction="sum" dataDxfId="1361" totalsRowDxfId="1360"/>
    <tableColumn id="3" xr3:uid="{00000000-0010-0000-1E00-000003000000}" name="Custo Real" totalsRowFunction="sum" dataDxfId="1359" totalsRowDxfId="1358"/>
    <tableColumn id="4" xr3:uid="{00000000-0010-0000-1E00-000004000000}" name="Diferença" totalsRowFunction="sum" dataDxfId="1357" totalsRowDxfId="1356">
      <calculatedColumnFormula>Tabela9140[[#This Row],[Custo Projetado]]-Tabela9140[[#This Row],[Custo Real]]</calculatedColumnFormula>
    </tableColumn>
  </tableColumns>
  <tableStyleInfo name="TableStyleMedium23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1A08441F-509F-4B0C-8989-C5D080154129}" name="Tabela1014335475995155" displayName="Tabela1014335475995155" ref="F38:I42" totalsRowCount="1" headerRowDxfId="639" dataDxfId="638" totalsRowDxfId="636" tableBorderDxfId="637">
  <autoFilter ref="F38:I41" xr:uid="{00000000-0009-0000-0100-00008E000000}"/>
  <tableColumns count="4">
    <tableColumn id="1" xr3:uid="{8E131F4F-ABDA-4B1C-BA3A-0762DF74EB1B}" name="ECONOMIAS OU INVESTIMENTOS" totalsRowLabel="Total" dataDxfId="635" totalsRowDxfId="634"/>
    <tableColumn id="2" xr3:uid="{4C16C8E9-0F2F-4E15-AE44-7E64C5E83284}" name="Custo Projetado" totalsRowFunction="sum" dataDxfId="633" totalsRowDxfId="632"/>
    <tableColumn id="3" xr3:uid="{9EEACBC3-3A01-4476-A95B-F264C15D4BB8}" name="Custo Real" totalsRowFunction="sum" dataDxfId="631" totalsRowDxfId="630"/>
    <tableColumn id="4" xr3:uid="{6F01127F-3030-423A-9A5D-B4F1AB040F90}" name="Diferença" totalsRowFunction="sum" dataDxfId="629" totalsRowDxfId="628">
      <calculatedColumnFormula>Tabela1014335475995155[[#This Row],[Custo Projetado]]-Tabela1014335475995155[[#This Row],[Custo Real]]</calculatedColumnFormula>
    </tableColumn>
  </tableColumns>
  <tableStyleInfo name="TableStyleMedium23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2A2218AE-0585-43B4-973B-AAD1076F273F}" name="Tabela714436486096156" displayName="Tabela714436486096156" ref="A56:D64" totalsRowCount="1" headerRowDxfId="627" dataDxfId="626" totalsRowDxfId="624" tableBorderDxfId="625">
  <autoFilter ref="A56:D63" xr:uid="{00000000-0009-0000-0100-00008F000000}"/>
  <tableColumns count="4">
    <tableColumn id="1" xr3:uid="{EC9DDADD-277B-4F6A-B50A-968F0C960CAC}" name="CUIDADOS PESSOAIS" totalsRowLabel="Total" dataDxfId="623" totalsRowDxfId="622"/>
    <tableColumn id="2" xr3:uid="{8F5CD56C-2B50-4BE5-B09C-51DEAC53DC06}" name="Custo Projetado" totalsRowFunction="sum" dataDxfId="621" totalsRowDxfId="620"/>
    <tableColumn id="3" xr3:uid="{6BAF1FA5-C802-49DA-940E-A3EE34FF22D2}" name="Custo Real" totalsRowFunction="sum" dataDxfId="619" totalsRowDxfId="618"/>
    <tableColumn id="4" xr3:uid="{2FE065DD-6F27-4E94-80B9-EFE14F5BD430}" name="Diferença" totalsRowFunction="sum" dataDxfId="617" totalsRowDxfId="616">
      <calculatedColumnFormula>Tabela714436486096156[[#This Row],[Custo Projetado]]-Tabela714436486096156[[#This Row],[Custo Real]]</calculatedColumnFormula>
    </tableColumn>
  </tableColumns>
  <tableStyleInfo name="TableStyleMedium23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C944BEFF-E2A1-4C8A-9D60-459868F3129B}" name="Tabela214537496197157" displayName="Tabela214537496197157" ref="F10:I20" totalsRowCount="1" headerRowDxfId="615" dataDxfId="614" totalsRowDxfId="612" tableBorderDxfId="613">
  <autoFilter ref="F10:I19" xr:uid="{00000000-0009-0000-0100-000090000000}"/>
  <tableColumns count="4">
    <tableColumn id="1" xr3:uid="{337021CA-FB7C-49FE-AB19-09F7ACE96E34}" name="ENTRETENIMENTO" totalsRowLabel="Total" dataDxfId="611" totalsRowDxfId="610"/>
    <tableColumn id="2" xr3:uid="{E41A3C26-7F68-4FD4-9EB1-37C07185448A}" name="Custo Projetado" totalsRowFunction="sum" dataDxfId="609" totalsRowDxfId="608"/>
    <tableColumn id="3" xr3:uid="{F5198AC9-91B1-4114-9BA3-5EB4C02F3783}" name="Custo Real" totalsRowFunction="sum" dataDxfId="607" totalsRowDxfId="606"/>
    <tableColumn id="4" xr3:uid="{5E2F4E20-E3F0-48CF-B6C9-885C06FFA1D0}" name="Diferença" totalsRowFunction="sum" dataDxfId="605" totalsRowDxfId="604">
      <calculatedColumnFormula>Tabela214537496197157[[#This Row],[Custo Projetado]]-Tabela214537496197157[[#This Row],[Custo Real]]</calculatedColumnFormula>
    </tableColumn>
  </tableColumns>
  <tableStyleInfo name="TableStyleMedium23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4BA0F78A-2EEB-4CAC-AAA9-C6404DDEE298}" name="Tabela113426385086146182" displayName="Tabela113426385086146182" ref="A10:D21" totalsRowCount="1" headerRowDxfId="603" dataDxfId="602" totalsRowDxfId="600" tableBorderDxfId="601">
  <autoFilter ref="A10:D20" xr:uid="{00000000-0009-0000-0100-000085000000}"/>
  <tableColumns count="4">
    <tableColumn id="1" xr3:uid="{69F66337-EA38-433E-A3A2-02F186398743}" name="MORADIA" totalsRowLabel="Total" dataDxfId="599" totalsRowDxfId="15"/>
    <tableColumn id="2" xr3:uid="{4E2F6C01-5101-478B-9AD3-0501FD560996}" name="Custo Projetado" totalsRowFunction="sum" dataDxfId="598" totalsRowDxfId="14"/>
    <tableColumn id="3" xr3:uid="{9E02CB4F-676C-4810-995F-CD94EDB1A715}" name="Custo Real" totalsRowFunction="sum" dataDxfId="597" totalsRowDxfId="13"/>
    <tableColumn id="4" xr3:uid="{1D2F827B-7A21-49EC-A021-21A9D9F17CCE}" name="Diferença" totalsRowFunction="sum" dataDxfId="596" totalsRowDxfId="12">
      <calculatedColumnFormula>Tabela113426385086146182[[#This Row],[Custo Projetado]]-Tabela113426385086146182[[#This Row],[Custo Real]]</calculatedColumnFormula>
    </tableColumn>
  </tableColumns>
  <tableStyleInfo name="TableStyleMedium23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3389CC7B-7EEB-4584-9D04-E1936B27FFB1}" name="Tabela413527395187147183" displayName="Tabela413527395187147183" ref="A35:D40" totalsRowCount="1" headerRowDxfId="595" dataDxfId="594" totalsRowDxfId="592" tableBorderDxfId="593">
  <autoFilter ref="A35:D39" xr:uid="{00000000-0009-0000-0100-000086000000}"/>
  <tableColumns count="4">
    <tableColumn id="1" xr3:uid="{DED52BCA-7393-4304-8890-10613323DB06}" name="SEGURO" totalsRowLabel="Total" dataDxfId="591" totalsRowDxfId="590"/>
    <tableColumn id="2" xr3:uid="{AE600BBE-1EB6-4CFD-9B46-92B7F2FD4013}" name="Custo Projetado" totalsRowFunction="sum" dataDxfId="589" totalsRowDxfId="588"/>
    <tableColumn id="3" xr3:uid="{6B3ACEDB-7A33-4E8C-9F5C-E0C48C3AC1D2}" name="Custo Real" totalsRowFunction="sum" dataDxfId="587" totalsRowDxfId="586"/>
    <tableColumn id="4" xr3:uid="{88C3DB8B-990B-43BF-8957-7536DF79CD59}" name="Diferença" totalsRowFunction="sum" dataDxfId="585" totalsRowDxfId="584">
      <calculatedColumnFormula>Tabela413527395187147183[[#This Row],[Custo Projetado]]-Tabela413527395187147183[[#This Row],[Custo Real]]</calculatedColumnFormula>
    </tableColumn>
  </tableColumns>
  <tableStyleInfo name="TableStyleMedium23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83473820-2B93-4D09-8EE7-FA7CDB8DC0E5}" name="Tabela1213628405288148184" displayName="Tabela1213628405288148184" ref="F50:I55" totalsRowCount="1" headerRowDxfId="583" dataDxfId="582" totalsRowDxfId="580" tableBorderDxfId="581">
  <autoFilter ref="F50:I54" xr:uid="{00000000-0009-0000-0100-000087000000}"/>
  <tableColumns count="4">
    <tableColumn id="1" xr3:uid="{2335558A-B71D-44FD-A368-895C557DDF6B}" name="LEGAL" totalsRowLabel="Total" dataDxfId="579" totalsRowDxfId="578"/>
    <tableColumn id="2" xr3:uid="{68857DDF-E600-47EE-998E-89E21E13FCCA}" name="Custo Projetado" totalsRowFunction="sum" dataDxfId="577" totalsRowDxfId="576"/>
    <tableColumn id="3" xr3:uid="{53AFDBCA-D177-4D83-9D0C-07BFAB00F6DE}" name="Custo Real" totalsRowFunction="sum" dataDxfId="575" totalsRowDxfId="574"/>
    <tableColumn id="4" xr3:uid="{8E6D9EF9-9599-4248-9ABE-BF00A0BC3B1B}" name="Diferença" totalsRowFunction="sum" dataDxfId="573" totalsRowDxfId="572">
      <calculatedColumnFormula>Tabela1213628405288148184[[#This Row],[Custo Projetado]]-Tabela1213628405288148184[[#This Row],[Custo Real]]</calculatedColumnFormula>
    </tableColumn>
  </tableColumns>
  <tableStyleInfo name="TableStyleMedium23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B8DBC7CF-96CB-422E-8FD4-B69D8CE7122D}" name="Tabela613729415389149185" displayName="Tabela613729415389149185" ref="A48:D54" totalsRowCount="1" headerRowDxfId="571" dataDxfId="570" totalsRowDxfId="568" tableBorderDxfId="569">
  <autoFilter ref="A48:D53" xr:uid="{00000000-0009-0000-0100-000088000000}"/>
  <tableColumns count="4">
    <tableColumn id="1" xr3:uid="{E958DD17-DEEA-4BBF-88ED-44C63F55706B}" name="ANIMAIS DE ESTIMAÇÃO" totalsRowLabel="Total" dataDxfId="567" totalsRowDxfId="566"/>
    <tableColumn id="2" xr3:uid="{B9338045-06AE-429D-AD5C-88685D1429EB}" name="Custo Projetado" totalsRowFunction="sum" dataDxfId="565" totalsRowDxfId="564"/>
    <tableColumn id="3" xr3:uid="{02912BAE-3FCB-462A-8490-3D52FB1DD9FC}" name="Custo Real" totalsRowFunction="sum" dataDxfId="563" totalsRowDxfId="562"/>
    <tableColumn id="4" xr3:uid="{E463BED7-4CA7-4C2C-8C5D-D6A10AD3018F}" name="Diferença" totalsRowFunction="sum" dataDxfId="561" totalsRowDxfId="560">
      <calculatedColumnFormula>Tabela613729415389149185[[#This Row],[Custo Projetado]]-Tabela613729415389149185[[#This Row],[Custo Real]]</calculatedColumnFormula>
    </tableColumn>
  </tableColumns>
  <tableStyleInfo name="TableStyleMedium23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43C39B03-28DA-4CB7-AA2B-9F10A79D8A7F}" name="Tabela1113830425490150186" displayName="Tabela1113830425490150186" ref="F44:I48" totalsRowCount="1" headerRowDxfId="559" dataDxfId="558" totalsRowDxfId="556" tableBorderDxfId="557">
  <autoFilter ref="F44:I47" xr:uid="{00000000-0009-0000-0100-000089000000}"/>
  <tableColumns count="4">
    <tableColumn id="1" xr3:uid="{FBABDC39-2978-4DF8-9009-E94734BDEDDA}" name="PRESENTES E DOAÇÕES" totalsRowLabel="Total" dataDxfId="555" totalsRowDxfId="554"/>
    <tableColumn id="2" xr3:uid="{854F9BBA-D160-48B5-889F-E9D0753AE202}" name="Custo Projetado" totalsRowFunction="sum" dataDxfId="553" totalsRowDxfId="552"/>
    <tableColumn id="3" xr3:uid="{4D86A9C9-016F-4393-BB5D-D390A3CE31FE}" name="Custo Real" totalsRowFunction="sum" dataDxfId="551" totalsRowDxfId="550"/>
    <tableColumn id="4" xr3:uid="{4CF14317-FF44-40D1-8E70-FA3DA72731C8}" name="Diferença" totalsRowFunction="sum" dataDxfId="549" totalsRowDxfId="548">
      <calculatedColumnFormula>Tabela1113830425490150186[[#This Row],[Custo Projetado]]-Tabela1113830425490150186[[#This Row],[Custo Real]]</calculatedColumnFormula>
    </tableColumn>
  </tableColumns>
  <tableStyleInfo name="TableStyleMedium23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A86C773F-EA7D-4389-94C8-B825CB93FC5C}" name="Tabela513931435591151187" displayName="Tabela513931435591151187" ref="A42:D46" totalsRowCount="1" headerRowDxfId="547" dataDxfId="546" totalsRowDxfId="544" tableBorderDxfId="545">
  <autoFilter ref="A42:D45" xr:uid="{00000000-0009-0000-0100-00008A000000}"/>
  <tableColumns count="4">
    <tableColumn id="1" xr3:uid="{711B50BE-0943-4727-BFE4-44D746123EE4}" name="ALIMENTAÇÃO" totalsRowLabel="Total" dataDxfId="543" totalsRowDxfId="542"/>
    <tableColumn id="2" xr3:uid="{9333D6C5-BBBA-42B4-9C96-34FD2EC5DB25}" name="Custo Projetado" totalsRowFunction="sum" dataDxfId="541" totalsRowDxfId="540"/>
    <tableColumn id="3" xr3:uid="{1DD98567-6929-423A-82F3-2BC10C18F473}" name="Custo Real" totalsRowFunction="sum" dataDxfId="539" totalsRowDxfId="538"/>
    <tableColumn id="4" xr3:uid="{C13BDC03-01D3-4AE7-A006-7ACC23758319}" name="Diferença" totalsRowFunction="sum" dataDxfId="537" totalsRowDxfId="536">
      <calculatedColumnFormula>Tabela513931435591151187[[#This Row],[Custo Projetado]]-Tabela513931435591151187[[#This Row],[Custo Real]]</calculatedColumnFormula>
    </tableColumn>
  </tableColumns>
  <tableStyleInfo name="TableStyleMedium23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3A56AF46-43B1-4B59-BD27-494BCEA0BE39}" name="Tabela914032445692152188" displayName="Tabela914032445692152188" ref="F31:I36" totalsRowCount="1" headerRowDxfId="535" dataDxfId="534" totalsRowDxfId="532" tableBorderDxfId="533">
  <autoFilter ref="F31:I35" xr:uid="{00000000-0009-0000-0100-00008B000000}"/>
  <tableColumns count="4">
    <tableColumn id="1" xr3:uid="{AC2F9966-9228-441B-AEC1-4DA3A9F18AA4}" name="IMPOSTOS" totalsRowLabel="Total" dataDxfId="531" totalsRowDxfId="530"/>
    <tableColumn id="2" xr3:uid="{5E14E18C-0DA8-4B2C-AE85-7E7EBA1246CB}" name="Custo Projetado" totalsRowFunction="sum" dataDxfId="529" totalsRowDxfId="528"/>
    <tableColumn id="3" xr3:uid="{235D5F11-D1E5-467B-8109-363685B285FC}" name="Custo Real" totalsRowFunction="sum" dataDxfId="527" totalsRowDxfId="526"/>
    <tableColumn id="4" xr3:uid="{96EB5F19-EEAE-4BA2-9341-C5E584EFF23C}" name="Diferença" totalsRowFunction="sum" dataDxfId="525" totalsRowDxfId="524">
      <calculatedColumnFormula>Tabela914032445692152188[[#This Row],[Custo Projetado]]-Tabela914032445692152188[[#This Row],[Custo Real]]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1F000000}" name="Tabela3141" displayName="Tabela3141" ref="A23:D33" totalsRowCount="1" headerRowDxfId="1355" dataDxfId="1354" totalsRowDxfId="1352" tableBorderDxfId="1353">
  <autoFilter ref="A23:D32" xr:uid="{00000000-0009-0000-0100-00008C000000}"/>
  <tableColumns count="4">
    <tableColumn id="1" xr3:uid="{00000000-0010-0000-1F00-000001000000}" name="TRANSPORTE" totalsRowLabel="Total" dataDxfId="1351" totalsRowDxfId="1350"/>
    <tableColumn id="2" xr3:uid="{00000000-0010-0000-1F00-000002000000}" name="Custo Projetado" totalsRowFunction="sum" dataDxfId="1349" totalsRowDxfId="1348"/>
    <tableColumn id="3" xr3:uid="{00000000-0010-0000-1F00-000003000000}" name="Custo Real" totalsRowFunction="sum" dataDxfId="1347" totalsRowDxfId="1346"/>
    <tableColumn id="4" xr3:uid="{00000000-0010-0000-1F00-000004000000}" name="Diferença" totalsRowFunction="sum" dataDxfId="1345" totalsRowDxfId="1344">
      <calculatedColumnFormula>Tabela3141[[#This Row],[Custo Projetado]]-Tabela3141[[#This Row],[Custo Real]]</calculatedColumnFormula>
    </tableColumn>
  </tableColumns>
  <tableStyleInfo name="TableStyleMedium23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BD7532FC-1C82-4872-AC2A-8F9E57290665}" name="Tabela314133455793153189" displayName="Tabela314133455793153189" ref="A23:D33" totalsRowCount="1" headerRowDxfId="523" dataDxfId="522" totalsRowDxfId="520" tableBorderDxfId="521">
  <autoFilter ref="A23:D32" xr:uid="{00000000-0009-0000-0100-00008C000000}"/>
  <tableColumns count="4">
    <tableColumn id="1" xr3:uid="{66C8DEC5-416D-45F7-A21F-5E2E3B0DF6FC}" name="TRANSPORTE" totalsRowLabel="Total" dataDxfId="519" totalsRowDxfId="518"/>
    <tableColumn id="2" xr3:uid="{225B44CE-115E-4D28-B917-E99B42ACB08A}" name="Custo Projetado" totalsRowFunction="sum" dataDxfId="517" totalsRowDxfId="516"/>
    <tableColumn id="3" xr3:uid="{6585B7AC-F713-4BE1-9FE6-BFAE8D877547}" name="Custo Real" totalsRowFunction="sum" dataDxfId="515" totalsRowDxfId="514"/>
    <tableColumn id="4" xr3:uid="{F33346EF-429C-49EF-BCED-963F163AF28A}" name="Diferença" totalsRowFunction="sum" dataDxfId="513" totalsRowDxfId="512">
      <calculatedColumnFormula>Tabela314133455793153189[[#This Row],[Custo Projetado]]-Tabela314133455793153189[[#This Row],[Custo Real]]</calculatedColumnFormula>
    </tableColumn>
  </tableColumns>
  <tableStyleInfo name="TableStyleMedium23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71D19C37-F96E-47E9-9A94-8591636E2438}" name="Tabela814234465894154190" displayName="Tabela814234465894154190" ref="F22:I29" totalsRowCount="1" headerRowDxfId="511" dataDxfId="510" totalsRowDxfId="508" tableBorderDxfId="509">
  <autoFilter ref="F22:I28" xr:uid="{00000000-0009-0000-0100-00008D000000}"/>
  <tableColumns count="4">
    <tableColumn id="1" xr3:uid="{E3291AF5-C325-44F2-932F-0606C14E5444}" name="EMPRÉSTIMOS" totalsRowLabel="Total" dataDxfId="507" totalsRowDxfId="175"/>
    <tableColumn id="2" xr3:uid="{E8BECFEE-F8C1-4742-ADF1-D01657E0E139}" name="Custo Projetado" totalsRowFunction="sum" dataDxfId="506" totalsRowDxfId="174"/>
    <tableColumn id="3" xr3:uid="{7119EDC1-A2F8-4EA2-B842-B55701968726}" name="Custo Real" totalsRowFunction="sum" dataDxfId="505" totalsRowDxfId="173"/>
    <tableColumn id="4" xr3:uid="{920B957E-7407-4862-B205-4F948D818F5F}" name="Diferença" totalsRowFunction="sum" dataDxfId="504" totalsRowDxfId="172">
      <calculatedColumnFormula>Tabela814234465894154190[[#This Row],[Custo Projetado]]-Tabela814234465894154190[[#This Row],[Custo Real]]</calculatedColumnFormula>
    </tableColumn>
  </tableColumns>
  <tableStyleInfo name="TableStyleMedium23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7241DF54-5756-48B3-BF4A-D855651BEDB9}" name="Tabela1014335475995155191" displayName="Tabela1014335475995155191" ref="F38:I42" totalsRowCount="1" headerRowDxfId="503" dataDxfId="502" totalsRowDxfId="500" tableBorderDxfId="501">
  <autoFilter ref="F38:I41" xr:uid="{00000000-0009-0000-0100-00008E000000}"/>
  <tableColumns count="4">
    <tableColumn id="1" xr3:uid="{31FD13EF-01D2-43F3-92D4-19A321D73F6C}" name="ECONOMIAS OU INVESTIMENTOS" totalsRowLabel="Total" dataDxfId="499" totalsRowDxfId="498"/>
    <tableColumn id="2" xr3:uid="{C8D336BA-DB37-458E-AC74-AFD8A48B267B}" name="Custo Projetado" totalsRowFunction="sum" dataDxfId="497" totalsRowDxfId="496"/>
    <tableColumn id="3" xr3:uid="{AD6C8277-234D-455C-B237-D0C4463B420D}" name="Custo Real" totalsRowFunction="sum" dataDxfId="495" totalsRowDxfId="494"/>
    <tableColumn id="4" xr3:uid="{EEE1668D-17A4-4CB0-B477-D7E0ACAAA1C9}" name="Diferença" totalsRowFunction="sum" dataDxfId="493" totalsRowDxfId="492">
      <calculatedColumnFormula>Tabela1014335475995155191[[#This Row],[Custo Projetado]]-Tabela1014335475995155191[[#This Row],[Custo Real]]</calculatedColumnFormula>
    </tableColumn>
  </tableColumns>
  <tableStyleInfo name="TableStyleMedium23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B389346D-A9D2-4B68-9701-C98EA9FCDF8B}" name="Tabela714436486096156192" displayName="Tabela714436486096156192" ref="A56:D64" totalsRowCount="1" headerRowDxfId="491" dataDxfId="490" totalsRowDxfId="488" tableBorderDxfId="489">
  <autoFilter ref="A56:D63" xr:uid="{00000000-0009-0000-0100-00008F000000}"/>
  <tableColumns count="4">
    <tableColumn id="1" xr3:uid="{1A459952-511C-47BA-9F2D-CE2CAC7D2FEA}" name="CUIDADOS PESSOAIS" totalsRowLabel="Total" dataDxfId="487" totalsRowDxfId="486"/>
    <tableColumn id="2" xr3:uid="{9A3701D5-2B22-45F2-838B-8AE57DE93A48}" name="Custo Projetado" totalsRowFunction="sum" dataDxfId="485" totalsRowDxfId="484"/>
    <tableColumn id="3" xr3:uid="{214BB18C-E7FD-4622-8F55-2584184AADC1}" name="Custo Real" totalsRowFunction="sum" dataDxfId="483" totalsRowDxfId="482"/>
    <tableColumn id="4" xr3:uid="{25ABA894-DDD3-435E-A1DF-F9DE7FE0DB39}" name="Diferença" totalsRowFunction="sum" dataDxfId="481" totalsRowDxfId="480">
      <calculatedColumnFormula>Tabela714436486096156192[[#This Row],[Custo Projetado]]-Tabela714436486096156192[[#This Row],[Custo Real]]</calculatedColumnFormula>
    </tableColumn>
  </tableColumns>
  <tableStyleInfo name="TableStyleMedium23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CD2A5E7D-FFF0-4231-BE39-8E6FAA7740A4}" name="Tabela214537496197157193" displayName="Tabela214537496197157193" ref="F10:I20" totalsRowCount="1" headerRowDxfId="479" dataDxfId="478" totalsRowDxfId="476" tableBorderDxfId="477">
  <autoFilter ref="F10:I19" xr:uid="{00000000-0009-0000-0100-000090000000}"/>
  <tableColumns count="4">
    <tableColumn id="1" xr3:uid="{4CD66A11-8F3F-4A9C-BAD9-C0D3D220A63D}" name="ENTRETENIMENTO" totalsRowLabel="Total" dataDxfId="475" totalsRowDxfId="474"/>
    <tableColumn id="2" xr3:uid="{48C48811-220E-4256-9464-7A2B8AB352EC}" name="Custo Projetado" totalsRowFunction="sum" dataDxfId="473" totalsRowDxfId="472"/>
    <tableColumn id="3" xr3:uid="{083C20AC-21A0-49BD-9DE3-38C35F21413B}" name="Custo Real" totalsRowFunction="sum" dataDxfId="471" totalsRowDxfId="470"/>
    <tableColumn id="4" xr3:uid="{6B57CD50-20DA-4420-898C-22AA4E3CC9DE}" name="Diferença" totalsRowFunction="sum" dataDxfId="469" totalsRowDxfId="468">
      <calculatedColumnFormula>Tabela214537496197157193[[#This Row],[Custo Projetado]]-Tabela214537496197157193[[#This Row],[Custo Real]]</calculatedColumnFormula>
    </tableColumn>
  </tableColumns>
  <tableStyleInfo name="TableStyleMedium23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E9569E1-C088-4E1B-98E9-38936C570219}" name="Tabela11342638508614618219414" displayName="Tabela11342638508614618219414" ref="A10:D21" totalsRowCount="1" headerRowDxfId="167" dataDxfId="166" totalsRowDxfId="165" tableBorderDxfId="164">
  <autoFilter ref="A10:D20" xr:uid="{00000000-0009-0000-0100-000085000000}"/>
  <tableColumns count="4">
    <tableColumn id="1" xr3:uid="{B8EEA610-5C9D-448A-A4B5-C064EF34F328}" name="MORADIA" totalsRowLabel="Total" dataDxfId="163" totalsRowDxfId="11"/>
    <tableColumn id="2" xr3:uid="{8C51FEB1-D876-4A24-91EA-F7FDFCBF5FA9}" name="Custo Projetado" totalsRowFunction="sum" dataDxfId="162" totalsRowDxfId="10"/>
    <tableColumn id="3" xr3:uid="{6BBD0E47-A53A-412F-9B66-149C37F8F38D}" name="Custo Real" totalsRowFunction="sum" dataDxfId="161" totalsRowDxfId="9"/>
    <tableColumn id="4" xr3:uid="{AF608927-D7E3-4930-B00F-503591E18A8A}" name="Diferença" totalsRowFunction="sum" dataDxfId="160" totalsRowDxfId="8">
      <calculatedColumnFormula>Tabela11342638508614618219414[[#This Row],[Custo Projetado]]-Tabela11342638508614618219414[[#This Row],[Custo Real]]</calculatedColumnFormula>
    </tableColumn>
  </tableColumns>
  <tableStyleInfo name="TableStyleMedium23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05AE581-C2DD-4F3F-886D-5B60853CF569}" name="Tabela41352739518714718319515" displayName="Tabela41352739518714718319515" ref="A35:D40" totalsRowCount="1" headerRowDxfId="159" dataDxfId="158" totalsRowDxfId="157" tableBorderDxfId="156">
  <autoFilter ref="A35:D39" xr:uid="{00000000-0009-0000-0100-000086000000}"/>
  <tableColumns count="4">
    <tableColumn id="1" xr3:uid="{2E62AA3D-523A-4134-847A-F6FCF24CCFD4}" name="SEGURO" totalsRowLabel="Total" dataDxfId="154" totalsRowDxfId="155"/>
    <tableColumn id="2" xr3:uid="{41B508E8-DECF-40D7-827C-9E2D8293826F}" name="Custo Projetado" totalsRowFunction="sum" dataDxfId="152" totalsRowDxfId="153"/>
    <tableColumn id="3" xr3:uid="{974CC1CC-38B0-41E3-A67F-9F552EB9B925}" name="Custo Real" totalsRowFunction="sum" dataDxfId="150" totalsRowDxfId="151"/>
    <tableColumn id="4" xr3:uid="{53FF41C3-65DB-4B30-A380-587E309FCCEE}" name="Diferença" totalsRowFunction="sum" dataDxfId="148" totalsRowDxfId="149">
      <calculatedColumnFormula>Tabela41352739518714718319515[[#This Row],[Custo Projetado]]-Tabela41352739518714718319515[[#This Row],[Custo Real]]</calculatedColumnFormula>
    </tableColumn>
  </tableColumns>
  <tableStyleInfo name="TableStyleMedium23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934C3CE-18D8-45BD-A98F-92B34254B3AC}" name="Tabela121362840528814818419616" displayName="Tabela121362840528814818419616" ref="F50:I55" totalsRowCount="1" headerRowDxfId="147" dataDxfId="146" totalsRowDxfId="145" tableBorderDxfId="144">
  <autoFilter ref="F50:I54" xr:uid="{00000000-0009-0000-0100-000087000000}"/>
  <tableColumns count="4">
    <tableColumn id="1" xr3:uid="{AA26D093-605C-423D-9CD1-08364FC81EE4}" name="LEGAL" totalsRowLabel="Total" dataDxfId="142" totalsRowDxfId="143"/>
    <tableColumn id="2" xr3:uid="{DE2B1B69-76F5-456E-BDFF-A2379E3660FF}" name="Custo Projetado" totalsRowFunction="sum" dataDxfId="140" totalsRowDxfId="141"/>
    <tableColumn id="3" xr3:uid="{B7B7D9CC-E8B0-4B73-965C-1C5DB7F5EBF9}" name="Custo Real" totalsRowFunction="sum" dataDxfId="138" totalsRowDxfId="139"/>
    <tableColumn id="4" xr3:uid="{1C6EA312-CC54-4F18-89D9-867B1137EDB0}" name="Diferença" totalsRowFunction="sum" dataDxfId="136" totalsRowDxfId="137">
      <calculatedColumnFormula>Tabela121362840528814818419616[[#This Row],[Custo Projetado]]-Tabela121362840528814818419616[[#This Row],[Custo Real]]</calculatedColumnFormula>
    </tableColumn>
  </tableColumns>
  <tableStyleInfo name="TableStyleMedium23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9185E3A-005C-44FB-9C55-D46F8EDA26B6}" name="Tabela61372941538914918519717" displayName="Tabela61372941538914918519717" ref="A48:D54" totalsRowCount="1" headerRowDxfId="135" dataDxfId="134" totalsRowDxfId="133" tableBorderDxfId="132">
  <autoFilter ref="A48:D53" xr:uid="{00000000-0009-0000-0100-000088000000}"/>
  <tableColumns count="4">
    <tableColumn id="1" xr3:uid="{5F9F1475-94AD-4B0E-9126-DDF1D1D7DE5A}" name="ANIMAIS DE ESTIMAÇÃO" totalsRowLabel="Total" dataDxfId="130" totalsRowDxfId="131"/>
    <tableColumn id="2" xr3:uid="{350E258C-BAAE-4426-BC10-D74746F9D71F}" name="Custo Projetado" totalsRowFunction="sum" dataDxfId="128" totalsRowDxfId="129"/>
    <tableColumn id="3" xr3:uid="{4BAC52FA-4CF1-4ABE-884E-CD86A9DBB98A}" name="Custo Real" totalsRowFunction="sum" dataDxfId="126" totalsRowDxfId="127"/>
    <tableColumn id="4" xr3:uid="{D2C4F92F-4F77-4E8E-B342-BB956D111597}" name="Diferença" totalsRowFunction="sum" dataDxfId="124" totalsRowDxfId="125">
      <calculatedColumnFormula>Tabela61372941538914918519717[[#This Row],[Custo Projetado]]-Tabela61372941538914918519717[[#This Row],[Custo Real]]</calculatedColumnFormula>
    </tableColumn>
  </tableColumns>
  <tableStyleInfo name="TableStyleMedium23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F23AEE0-BB44-4ACE-826F-7D95DE6C4ACC}" name="Tabela111383042549015018619818" displayName="Tabela111383042549015018619818" ref="F44:I48" totalsRowCount="1" headerRowDxfId="123" dataDxfId="122" totalsRowDxfId="121" tableBorderDxfId="120">
  <autoFilter ref="F44:I47" xr:uid="{00000000-0009-0000-0100-000089000000}"/>
  <tableColumns count="4">
    <tableColumn id="1" xr3:uid="{0ADF2EAE-9461-4DAA-871C-F49393393C8E}" name="PRESENTES E DOAÇÕES" totalsRowLabel="Total" dataDxfId="118" totalsRowDxfId="119"/>
    <tableColumn id="2" xr3:uid="{1AEDA35C-F3C5-4285-B0F3-6E46738D20E6}" name="Custo Projetado" totalsRowFunction="sum" dataDxfId="116" totalsRowDxfId="117"/>
    <tableColumn id="3" xr3:uid="{0700FFB7-A825-4EB7-B8D6-DD2E0AD9C1A8}" name="Custo Real" totalsRowFunction="sum" dataDxfId="114" totalsRowDxfId="115"/>
    <tableColumn id="4" xr3:uid="{65AF047F-6272-40D5-91D7-902BEC2AB17D}" name="Diferença" totalsRowFunction="sum" dataDxfId="112" totalsRowDxfId="113">
      <calculatedColumnFormula>Tabela111383042549015018619818[[#This Row],[Custo Projetado]]-Tabela111383042549015018619818[[#This Row],[Custo Real]]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20000000}" name="Tabela8142" displayName="Tabela8142" ref="F22:I29" totalsRowCount="1" headerRowDxfId="1343" dataDxfId="1342" totalsRowDxfId="1340" tableBorderDxfId="1341">
  <autoFilter ref="F22:I28" xr:uid="{00000000-0009-0000-0100-00008D000000}"/>
  <tableColumns count="4">
    <tableColumn id="1" xr3:uid="{00000000-0010-0000-2000-000001000000}" name="EMPRÉSTIMOS" totalsRowLabel="Total" dataDxfId="1339" totalsRowDxfId="1338"/>
    <tableColumn id="2" xr3:uid="{00000000-0010-0000-2000-000002000000}" name="Custo Projetado" totalsRowFunction="sum" dataDxfId="1337" totalsRowDxfId="1336"/>
    <tableColumn id="3" xr3:uid="{00000000-0010-0000-2000-000003000000}" name="Custo Real" totalsRowFunction="sum" dataDxfId="1335" totalsRowDxfId="1334"/>
    <tableColumn id="4" xr3:uid="{00000000-0010-0000-2000-000004000000}" name="Diferença" totalsRowFunction="sum" dataDxfId="1333" totalsRowDxfId="1332">
      <calculatedColumnFormula>Tabela8142[[#This Row],[Custo Projetado]]-Tabela8142[[#This Row],[Custo Real]]</calculatedColumnFormula>
    </tableColumn>
  </tableColumns>
  <tableStyleInfo name="TableStyleMedium23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276594B-D38D-4749-ACF0-BE64CA163279}" name="Tabela51393143559115118719919" displayName="Tabela51393143559115118719919" ref="A42:D46" totalsRowCount="1" headerRowDxfId="111" dataDxfId="110" totalsRowDxfId="109" tableBorderDxfId="108">
  <autoFilter ref="A42:D45" xr:uid="{00000000-0009-0000-0100-00008A000000}"/>
  <tableColumns count="4">
    <tableColumn id="1" xr3:uid="{3ABFDB0B-18D6-4DD9-8F8B-BE0D59D660F8}" name="ALIMENTAÇÃO" totalsRowLabel="Total" dataDxfId="106" totalsRowDxfId="107"/>
    <tableColumn id="2" xr3:uid="{57D5E824-92D5-489D-9DDC-AB7EB0C8C988}" name="Custo Projetado" totalsRowFunction="sum" dataDxfId="104" totalsRowDxfId="105"/>
    <tableColumn id="3" xr3:uid="{8A81A82B-A13C-4D37-938B-2273FD8AF20D}" name="Custo Real" totalsRowFunction="sum" dataDxfId="102" totalsRowDxfId="103"/>
    <tableColumn id="4" xr3:uid="{483ECF53-55C1-4143-BA3A-E398E72AC36C}" name="Diferença" totalsRowFunction="sum" dataDxfId="100" totalsRowDxfId="101">
      <calculatedColumnFormula>Tabela51393143559115118719919[[#This Row],[Custo Projetado]]-Tabela51393143559115118719919[[#This Row],[Custo Real]]</calculatedColumnFormula>
    </tableColumn>
  </tableColumns>
  <tableStyleInfo name="TableStyleMedium23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F417CBF-FC6F-456A-AC2B-5D5E22391770}" name="Tabela91403244569215218820020" displayName="Tabela91403244569215218820020" ref="F31:I36" totalsRowCount="1" headerRowDxfId="99" dataDxfId="98" totalsRowDxfId="97" tableBorderDxfId="96">
  <autoFilter ref="F31:I35" xr:uid="{00000000-0009-0000-0100-00008B000000}"/>
  <tableColumns count="4">
    <tableColumn id="1" xr3:uid="{0F9652A3-56A8-415A-95EC-D8B55F15C7F8}" name="IMPOSTOS" totalsRowLabel="Total" dataDxfId="94" totalsRowDxfId="95"/>
    <tableColumn id="2" xr3:uid="{7B7D92A3-B499-407C-826A-BE2B1C443C43}" name="Custo Projetado" totalsRowFunction="sum" dataDxfId="92" totalsRowDxfId="93"/>
    <tableColumn id="3" xr3:uid="{BFB99B15-90C6-4EFE-BA90-C8487A6943A3}" name="Custo Real" totalsRowFunction="sum" dataDxfId="90" totalsRowDxfId="91"/>
    <tableColumn id="4" xr3:uid="{83A5D879-AD0A-46E7-A350-9904C940E4B5}" name="Diferença" totalsRowFunction="sum" dataDxfId="88" totalsRowDxfId="89">
      <calculatedColumnFormula>Tabela91403244569215218820020[[#This Row],[Custo Projetado]]-Tabela91403244569215218820020[[#This Row],[Custo Real]]</calculatedColumnFormula>
    </tableColumn>
  </tableColumns>
  <tableStyleInfo name="TableStyleMedium23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CCA11F8-DB5A-4D19-8EF0-C8358B0A79CC}" name="Tabela31413345579315318920121" displayName="Tabela31413345579315318920121" ref="A23:D33" totalsRowCount="1" headerRowDxfId="87" dataDxfId="86" totalsRowDxfId="85" tableBorderDxfId="84">
  <autoFilter ref="A23:D32" xr:uid="{00000000-0009-0000-0100-00008C000000}"/>
  <tableColumns count="4">
    <tableColumn id="1" xr3:uid="{BE1F97D6-E081-44A7-90B4-EA48C4C6A2B3}" name="TRANSPORTE" totalsRowLabel="Total" dataDxfId="82" totalsRowDxfId="83"/>
    <tableColumn id="2" xr3:uid="{1A83E890-80F6-4AE7-AB1A-857E959B0CF9}" name="Custo Projetado" totalsRowFunction="sum" dataDxfId="80" totalsRowDxfId="81"/>
    <tableColumn id="3" xr3:uid="{AB723E4B-8541-4075-A8B6-59DFB569B55D}" name="Custo Real" totalsRowFunction="sum" dataDxfId="78" totalsRowDxfId="79"/>
    <tableColumn id="4" xr3:uid="{66B8F133-B90A-4B3E-8E80-897EBB57B00B}" name="Diferença" totalsRowFunction="sum" dataDxfId="76" totalsRowDxfId="77">
      <calculatedColumnFormula>Tabela31413345579315318920121[[#This Row],[Custo Projetado]]-Tabela31413345579315318920121[[#This Row],[Custo Real]]</calculatedColumnFormula>
    </tableColumn>
  </tableColumns>
  <tableStyleInfo name="TableStyleMedium23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D3A670E-C85C-409E-B66C-02E383E71C0D}" name="Tabela81423446589415419020222" displayName="Tabela81423446589415419020222" ref="F22:I29" totalsRowCount="1" headerRowDxfId="75" dataDxfId="74" totalsRowDxfId="73" tableBorderDxfId="72">
  <autoFilter ref="F22:I28" xr:uid="{00000000-0009-0000-0100-00008D000000}"/>
  <tableColumns count="4">
    <tableColumn id="1" xr3:uid="{8A9B7AE0-7966-4BE4-BAC8-AB50733FEA6D}" name="EMPRÉSTIMOS" totalsRowLabel="Total" dataDxfId="70" totalsRowDxfId="71"/>
    <tableColumn id="2" xr3:uid="{498EF372-7D50-4AC6-8489-BAB74A3BD360}" name="Custo Projetado" totalsRowFunction="sum" dataDxfId="68" totalsRowDxfId="69"/>
    <tableColumn id="3" xr3:uid="{A90F9A52-A3FB-478D-A341-B3FBAA0A6463}" name="Custo Real" totalsRowFunction="sum" dataDxfId="66" totalsRowDxfId="67"/>
    <tableColumn id="4" xr3:uid="{A3E97518-86E2-4258-A4B1-E32F99E0CA44}" name="Diferença" totalsRowFunction="sum" dataDxfId="64" totalsRowDxfId="65">
      <calculatedColumnFormula>Tabela81423446589415419020222[[#This Row],[Custo Projetado]]-Tabela81423446589415419020222[[#This Row],[Custo Real]]</calculatedColumnFormula>
    </tableColumn>
  </tableColumns>
  <tableStyleInfo name="TableStyleMedium23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A32EF15-7F82-458B-9BC3-B07380E0BDB3}" name="Tabela101433547599515519120323" displayName="Tabela101433547599515519120323" ref="F38:I42" totalsRowCount="1" headerRowDxfId="63" dataDxfId="62" totalsRowDxfId="61" tableBorderDxfId="60">
  <autoFilter ref="F38:I41" xr:uid="{00000000-0009-0000-0100-00008E000000}"/>
  <tableColumns count="4">
    <tableColumn id="1" xr3:uid="{800714E5-EFF6-4883-8ED2-0B5FD83045BB}" name="ECONOMIAS OU INVESTIMENTOS" totalsRowLabel="Total" dataDxfId="58" totalsRowDxfId="59"/>
    <tableColumn id="2" xr3:uid="{DAD4C2D9-B8B1-4A9C-AA5A-B512FB6BEAED}" name="Custo Projetado" totalsRowFunction="sum" dataDxfId="56" totalsRowDxfId="57"/>
    <tableColumn id="3" xr3:uid="{D43FAD81-A225-4713-BC67-895D3D275A4B}" name="Custo Real" totalsRowFunction="sum" dataDxfId="54" totalsRowDxfId="55"/>
    <tableColumn id="4" xr3:uid="{9FD3B4C7-A67D-4E6F-9161-9AE18FF79D04}" name="Diferença" totalsRowFunction="sum" dataDxfId="52" totalsRowDxfId="53">
      <calculatedColumnFormula>Tabela101433547599515519120323[[#This Row],[Custo Projetado]]-Tabela101433547599515519120323[[#This Row],[Custo Real]]</calculatedColumnFormula>
    </tableColumn>
  </tableColumns>
  <tableStyleInfo name="TableStyleMedium23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BB20123-9BAC-4603-9DC2-09583D25811F}" name="Tabela71443648609615619220424" displayName="Tabela71443648609615619220424" ref="A56:D64" totalsRowCount="1" headerRowDxfId="51" dataDxfId="50" totalsRowDxfId="49" tableBorderDxfId="48">
  <autoFilter ref="A56:D63" xr:uid="{00000000-0009-0000-0100-00008F000000}"/>
  <tableColumns count="4">
    <tableColumn id="1" xr3:uid="{F4AD6981-6B9D-42F3-A046-5112D7B145E7}" name="CUIDADOS PESSOAIS" totalsRowLabel="Total" dataDxfId="46" totalsRowDxfId="47"/>
    <tableColumn id="2" xr3:uid="{55337917-CCA6-4B25-BC33-66FB66A122A8}" name="Custo Projetado" totalsRowFunction="sum" dataDxfId="44" totalsRowDxfId="45"/>
    <tableColumn id="3" xr3:uid="{E15BA3ED-E31E-4FB1-B0B3-E1810CDD6749}" name="Custo Real" totalsRowFunction="sum" dataDxfId="42" totalsRowDxfId="43"/>
    <tableColumn id="4" xr3:uid="{D80E4465-B33B-4CFD-B006-F428C53EDE5B}" name="Diferença" totalsRowFunction="sum" dataDxfId="40" totalsRowDxfId="41">
      <calculatedColumnFormula>Tabela71443648609615619220424[[#This Row],[Custo Projetado]]-Tabela71443648609615619220424[[#This Row],[Custo Real]]</calculatedColumnFormula>
    </tableColumn>
  </tableColumns>
  <tableStyleInfo name="TableStyleMedium23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AD476A5-002C-4FD2-B549-8FCAF14CBB05}" name="Tabela21453749619715719320525" displayName="Tabela21453749619715719320525" ref="F10:I20" totalsRowCount="1" headerRowDxfId="39" dataDxfId="38" totalsRowDxfId="37" tableBorderDxfId="36">
  <autoFilter ref="F10:I19" xr:uid="{00000000-0009-0000-0100-000090000000}"/>
  <tableColumns count="4">
    <tableColumn id="1" xr3:uid="{4536DF33-0E48-454E-9CCF-35381BAF0996}" name="ENTRETENIMENTO" totalsRowLabel="Total" dataDxfId="34" totalsRowDxfId="35"/>
    <tableColumn id="2" xr3:uid="{1F978BE9-758F-4B7A-8A3D-FDC8EEB747A8}" name="Custo Projetado" totalsRowFunction="sum" dataDxfId="32" totalsRowDxfId="33"/>
    <tableColumn id="3" xr3:uid="{CDDE34BF-28A5-42D4-A362-496572882CF7}" name="Custo Real" totalsRowFunction="sum" dataDxfId="30" totalsRowDxfId="31"/>
    <tableColumn id="4" xr3:uid="{EB0945D8-5C54-4AEE-8B83-B3F94A29F884}" name="Diferença" totalsRowFunction="sum" dataDxfId="28" totalsRowDxfId="29">
      <calculatedColumnFormula>Tabela21453749619715719320525[[#This Row],[Custo Projetado]]-Tabela21453749619715719320525[[#This Row],[Custo Real]]</calculatedColumnFormula>
    </tableColumn>
  </tableColumns>
  <tableStyleInfo name="TableStyleMedium23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7F9CB8E3-3874-4502-95C2-08B221EF9B06}" name="Tabela113426385086146182194" displayName="Tabela113426385086146182194" ref="A10:D21" totalsRowCount="1" headerRowDxfId="467" dataDxfId="466" totalsRowDxfId="464" tableBorderDxfId="465">
  <autoFilter ref="A10:D20" xr:uid="{00000000-0009-0000-0100-000085000000}"/>
  <tableColumns count="4">
    <tableColumn id="1" xr3:uid="{E94A1AD5-7AFD-4567-AF93-14CBB10850E0}" name="MORADIA" totalsRowLabel="Total" dataDxfId="463" totalsRowDxfId="7"/>
    <tableColumn id="2" xr3:uid="{0E7C8501-500E-49EE-8B81-E7B9506B8CA7}" name="Custo Projetado" totalsRowFunction="sum" dataDxfId="462" totalsRowDxfId="6"/>
    <tableColumn id="3" xr3:uid="{C70993C3-A75A-4AA5-8F50-69CC7F011A66}" name="Custo Real" totalsRowFunction="sum" dataDxfId="461" totalsRowDxfId="5"/>
    <tableColumn id="4" xr3:uid="{DD5CCEDC-DC2B-4A35-A9C1-F82EFD001D45}" name="Diferença" totalsRowFunction="sum" dataDxfId="460" totalsRowDxfId="4">
      <calculatedColumnFormula>Tabela113426385086146182194[[#This Row],[Custo Projetado]]-Tabela113426385086146182194[[#This Row],[Custo Real]]</calculatedColumnFormula>
    </tableColumn>
  </tableColumns>
  <tableStyleInfo name="TableStyleMedium23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0579DA72-3FE6-4838-B1A2-27AB341D6F91}" name="Tabela413527395187147183195" displayName="Tabela413527395187147183195" ref="A35:D40" totalsRowCount="1" headerRowDxfId="459" dataDxfId="458" totalsRowDxfId="456" tableBorderDxfId="457">
  <autoFilter ref="A35:D39" xr:uid="{00000000-0009-0000-0100-000086000000}"/>
  <tableColumns count="4">
    <tableColumn id="1" xr3:uid="{E85B5242-B0AE-488B-90F2-9A4BD7915977}" name="SEGURO" totalsRowLabel="Total" dataDxfId="455" totalsRowDxfId="454"/>
    <tableColumn id="2" xr3:uid="{77D9E3D5-97DA-4C59-904B-7A8664F3391C}" name="Custo Projetado" totalsRowFunction="sum" dataDxfId="453" totalsRowDxfId="452"/>
    <tableColumn id="3" xr3:uid="{1C8FABE5-687F-44EE-8B27-2FBA825CF7ED}" name="Custo Real" totalsRowFunction="sum" dataDxfId="451" totalsRowDxfId="450"/>
    <tableColumn id="4" xr3:uid="{B118E199-0217-4E6B-8DCE-00E58B8C35FD}" name="Diferença" totalsRowFunction="sum" dataDxfId="449" totalsRowDxfId="448">
      <calculatedColumnFormula>Tabela413527395187147183195[[#This Row],[Custo Projetado]]-Tabela413527395187147183195[[#This Row],[Custo Real]]</calculatedColumnFormula>
    </tableColumn>
  </tableColumns>
  <tableStyleInfo name="TableStyleMedium23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A11661EB-DE88-4C31-A58E-35E2F86642B1}" name="Tabela1213628405288148184196" displayName="Tabela1213628405288148184196" ref="F50:I55" totalsRowCount="1" headerRowDxfId="447" dataDxfId="446" totalsRowDxfId="444" tableBorderDxfId="445">
  <autoFilter ref="F50:I54" xr:uid="{00000000-0009-0000-0100-000087000000}"/>
  <tableColumns count="4">
    <tableColumn id="1" xr3:uid="{7F60DCE0-06E8-44F2-BBD8-66EB45F2BA7F}" name="LEGAL" totalsRowLabel="Total" dataDxfId="443" totalsRowDxfId="442"/>
    <tableColumn id="2" xr3:uid="{8D2C8E62-3C72-44B8-A9F7-9ECE4B470C65}" name="Custo Projetado" totalsRowFunction="sum" dataDxfId="441" totalsRowDxfId="440"/>
    <tableColumn id="3" xr3:uid="{A4CD94A8-AD83-41C2-AE0F-AFDBAE04E52A}" name="Custo Real" totalsRowFunction="sum" dataDxfId="439" totalsRowDxfId="438"/>
    <tableColumn id="4" xr3:uid="{1A5AA5BB-2B40-4A79-8ABC-7D5417D1C610}" name="Diferença" totalsRowFunction="sum" dataDxfId="437" totalsRowDxfId="436">
      <calculatedColumnFormula>Tabela1213628405288148184196[[#This Row],[Custo Projetado]]-Tabela1213628405288148184196[[#This Row],[Custo Real]]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6.xml"/><Relationship Id="rId3" Type="http://schemas.openxmlformats.org/officeDocument/2006/relationships/table" Target="../tables/table111.xml"/><Relationship Id="rId7" Type="http://schemas.openxmlformats.org/officeDocument/2006/relationships/table" Target="../tables/table115.xml"/><Relationship Id="rId12" Type="http://schemas.openxmlformats.org/officeDocument/2006/relationships/table" Target="../tables/table120.xml"/><Relationship Id="rId2" Type="http://schemas.openxmlformats.org/officeDocument/2006/relationships/table" Target="../tables/table110.xml"/><Relationship Id="rId1" Type="http://schemas.openxmlformats.org/officeDocument/2006/relationships/table" Target="../tables/table109.xml"/><Relationship Id="rId6" Type="http://schemas.openxmlformats.org/officeDocument/2006/relationships/table" Target="../tables/table114.xml"/><Relationship Id="rId11" Type="http://schemas.openxmlformats.org/officeDocument/2006/relationships/table" Target="../tables/table119.xml"/><Relationship Id="rId5" Type="http://schemas.openxmlformats.org/officeDocument/2006/relationships/table" Target="../tables/table113.xml"/><Relationship Id="rId10" Type="http://schemas.openxmlformats.org/officeDocument/2006/relationships/table" Target="../tables/table118.xml"/><Relationship Id="rId4" Type="http://schemas.openxmlformats.org/officeDocument/2006/relationships/table" Target="../tables/table112.xml"/><Relationship Id="rId9" Type="http://schemas.openxmlformats.org/officeDocument/2006/relationships/table" Target="../tables/table11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5" Type="http://schemas.openxmlformats.org/officeDocument/2006/relationships/table" Target="../tables/table1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2.xml"/><Relationship Id="rId3" Type="http://schemas.openxmlformats.org/officeDocument/2006/relationships/table" Target="../tables/table27.xml"/><Relationship Id="rId7" Type="http://schemas.openxmlformats.org/officeDocument/2006/relationships/table" Target="../tables/table31.xml"/><Relationship Id="rId12" Type="http://schemas.openxmlformats.org/officeDocument/2006/relationships/table" Target="../tables/table36.xml"/><Relationship Id="rId2" Type="http://schemas.openxmlformats.org/officeDocument/2006/relationships/table" Target="../tables/table26.xml"/><Relationship Id="rId1" Type="http://schemas.openxmlformats.org/officeDocument/2006/relationships/table" Target="../tables/table25.xml"/><Relationship Id="rId6" Type="http://schemas.openxmlformats.org/officeDocument/2006/relationships/table" Target="../tables/table30.xml"/><Relationship Id="rId11" Type="http://schemas.openxmlformats.org/officeDocument/2006/relationships/table" Target="../tables/table35.xml"/><Relationship Id="rId5" Type="http://schemas.openxmlformats.org/officeDocument/2006/relationships/table" Target="../tables/table29.xml"/><Relationship Id="rId10" Type="http://schemas.openxmlformats.org/officeDocument/2006/relationships/table" Target="../tables/table34.xml"/><Relationship Id="rId4" Type="http://schemas.openxmlformats.org/officeDocument/2006/relationships/table" Target="../tables/table28.xml"/><Relationship Id="rId9" Type="http://schemas.openxmlformats.org/officeDocument/2006/relationships/table" Target="../tables/table3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4.xml"/><Relationship Id="rId3" Type="http://schemas.openxmlformats.org/officeDocument/2006/relationships/table" Target="../tables/table39.xml"/><Relationship Id="rId7" Type="http://schemas.openxmlformats.org/officeDocument/2006/relationships/table" Target="../tables/table43.xml"/><Relationship Id="rId12" Type="http://schemas.openxmlformats.org/officeDocument/2006/relationships/table" Target="../tables/table48.xml"/><Relationship Id="rId2" Type="http://schemas.openxmlformats.org/officeDocument/2006/relationships/table" Target="../tables/table38.xml"/><Relationship Id="rId1" Type="http://schemas.openxmlformats.org/officeDocument/2006/relationships/table" Target="../tables/table37.xml"/><Relationship Id="rId6" Type="http://schemas.openxmlformats.org/officeDocument/2006/relationships/table" Target="../tables/table42.xml"/><Relationship Id="rId11" Type="http://schemas.openxmlformats.org/officeDocument/2006/relationships/table" Target="../tables/table47.xml"/><Relationship Id="rId5" Type="http://schemas.openxmlformats.org/officeDocument/2006/relationships/table" Target="../tables/table41.xml"/><Relationship Id="rId10" Type="http://schemas.openxmlformats.org/officeDocument/2006/relationships/table" Target="../tables/table46.xml"/><Relationship Id="rId4" Type="http://schemas.openxmlformats.org/officeDocument/2006/relationships/table" Target="../tables/table40.xml"/><Relationship Id="rId9" Type="http://schemas.openxmlformats.org/officeDocument/2006/relationships/table" Target="../tables/table4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2" Type="http://schemas.openxmlformats.org/officeDocument/2006/relationships/table" Target="../tables/table50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0" Type="http://schemas.openxmlformats.org/officeDocument/2006/relationships/table" Target="../tables/table58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8.xml"/><Relationship Id="rId3" Type="http://schemas.openxmlformats.org/officeDocument/2006/relationships/table" Target="../tables/table63.xml"/><Relationship Id="rId7" Type="http://schemas.openxmlformats.org/officeDocument/2006/relationships/table" Target="../tables/table67.xml"/><Relationship Id="rId12" Type="http://schemas.openxmlformats.org/officeDocument/2006/relationships/table" Target="../tables/table72.xml"/><Relationship Id="rId2" Type="http://schemas.openxmlformats.org/officeDocument/2006/relationships/table" Target="../tables/table62.xml"/><Relationship Id="rId1" Type="http://schemas.openxmlformats.org/officeDocument/2006/relationships/table" Target="../tables/table61.xml"/><Relationship Id="rId6" Type="http://schemas.openxmlformats.org/officeDocument/2006/relationships/table" Target="../tables/table66.xml"/><Relationship Id="rId11" Type="http://schemas.openxmlformats.org/officeDocument/2006/relationships/table" Target="../tables/table71.xml"/><Relationship Id="rId5" Type="http://schemas.openxmlformats.org/officeDocument/2006/relationships/table" Target="../tables/table65.xml"/><Relationship Id="rId10" Type="http://schemas.openxmlformats.org/officeDocument/2006/relationships/table" Target="../tables/table70.xml"/><Relationship Id="rId4" Type="http://schemas.openxmlformats.org/officeDocument/2006/relationships/table" Target="../tables/table64.xml"/><Relationship Id="rId9" Type="http://schemas.openxmlformats.org/officeDocument/2006/relationships/table" Target="../tables/table6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7" Type="http://schemas.openxmlformats.org/officeDocument/2006/relationships/table" Target="../tables/table79.xml"/><Relationship Id="rId12" Type="http://schemas.openxmlformats.org/officeDocument/2006/relationships/table" Target="../tables/table84.xml"/><Relationship Id="rId2" Type="http://schemas.openxmlformats.org/officeDocument/2006/relationships/table" Target="../tables/table74.xml"/><Relationship Id="rId1" Type="http://schemas.openxmlformats.org/officeDocument/2006/relationships/table" Target="../tables/table73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5" Type="http://schemas.openxmlformats.org/officeDocument/2006/relationships/table" Target="../tables/table77.xml"/><Relationship Id="rId10" Type="http://schemas.openxmlformats.org/officeDocument/2006/relationships/table" Target="../tables/table82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2.xml"/><Relationship Id="rId3" Type="http://schemas.openxmlformats.org/officeDocument/2006/relationships/table" Target="../tables/table87.xml"/><Relationship Id="rId7" Type="http://schemas.openxmlformats.org/officeDocument/2006/relationships/table" Target="../tables/table91.xml"/><Relationship Id="rId12" Type="http://schemas.openxmlformats.org/officeDocument/2006/relationships/table" Target="../tables/table96.xml"/><Relationship Id="rId2" Type="http://schemas.openxmlformats.org/officeDocument/2006/relationships/table" Target="../tables/table86.xml"/><Relationship Id="rId1" Type="http://schemas.openxmlformats.org/officeDocument/2006/relationships/table" Target="../tables/table85.xml"/><Relationship Id="rId6" Type="http://schemas.openxmlformats.org/officeDocument/2006/relationships/table" Target="../tables/table90.xml"/><Relationship Id="rId11" Type="http://schemas.openxmlformats.org/officeDocument/2006/relationships/table" Target="../tables/table95.xml"/><Relationship Id="rId5" Type="http://schemas.openxmlformats.org/officeDocument/2006/relationships/table" Target="../tables/table89.xml"/><Relationship Id="rId10" Type="http://schemas.openxmlformats.org/officeDocument/2006/relationships/table" Target="../tables/table94.xml"/><Relationship Id="rId4" Type="http://schemas.openxmlformats.org/officeDocument/2006/relationships/table" Target="../tables/table88.xml"/><Relationship Id="rId9" Type="http://schemas.openxmlformats.org/officeDocument/2006/relationships/table" Target="../tables/table9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4.xml"/><Relationship Id="rId3" Type="http://schemas.openxmlformats.org/officeDocument/2006/relationships/table" Target="../tables/table99.xml"/><Relationship Id="rId7" Type="http://schemas.openxmlformats.org/officeDocument/2006/relationships/table" Target="../tables/table103.xml"/><Relationship Id="rId12" Type="http://schemas.openxmlformats.org/officeDocument/2006/relationships/table" Target="../tables/table108.xml"/><Relationship Id="rId2" Type="http://schemas.openxmlformats.org/officeDocument/2006/relationships/table" Target="../tables/table98.xml"/><Relationship Id="rId1" Type="http://schemas.openxmlformats.org/officeDocument/2006/relationships/table" Target="../tables/table97.xml"/><Relationship Id="rId6" Type="http://schemas.openxmlformats.org/officeDocument/2006/relationships/table" Target="../tables/table102.xml"/><Relationship Id="rId11" Type="http://schemas.openxmlformats.org/officeDocument/2006/relationships/table" Target="../tables/table107.xml"/><Relationship Id="rId5" Type="http://schemas.openxmlformats.org/officeDocument/2006/relationships/table" Target="../tables/table101.xml"/><Relationship Id="rId10" Type="http://schemas.openxmlformats.org/officeDocument/2006/relationships/table" Target="../tables/table106.xml"/><Relationship Id="rId4" Type="http://schemas.openxmlformats.org/officeDocument/2006/relationships/table" Target="../tables/table100.xml"/><Relationship Id="rId9" Type="http://schemas.openxmlformats.org/officeDocument/2006/relationships/table" Target="../tables/table10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workbookViewId="0">
      <selection activeCell="A3" sqref="A3:A5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-591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22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591</v>
      </c>
    </row>
    <row r="8" spans="1:9" x14ac:dyDescent="0.2">
      <c r="A8" s="39"/>
      <c r="B8" s="44" t="s">
        <v>42</v>
      </c>
      <c r="C8" s="45"/>
      <c r="D8" s="22">
        <f>SUM(D6:D7)</f>
        <v>0</v>
      </c>
      <c r="E8" s="2"/>
      <c r="F8" s="42"/>
      <c r="G8" s="42"/>
      <c r="H8" s="42"/>
      <c r="I8" s="43"/>
    </row>
    <row r="9" spans="1:9" x14ac:dyDescent="0.2">
      <c r="A9" s="23"/>
      <c r="B9" s="23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Tabela1134[[#This Row],[Custo Projetado]]-Tabela1134[[#This Row],[Custo Real]]</f>
        <v>1900</v>
      </c>
      <c r="E11" s="21"/>
      <c r="F11" s="20" t="s">
        <v>28</v>
      </c>
      <c r="G11" s="16">
        <v>0</v>
      </c>
      <c r="H11" s="16"/>
      <c r="I11" s="17">
        <f>Tabela2145[[#This Row],[Custo Projetado]]-Tabela2145[[#This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Tabela1134[[#This Row],[Custo Projetado]]-Tabela1134[[#This Row],[Custo Real]]</f>
        <v>100</v>
      </c>
      <c r="E12" s="21"/>
      <c r="F12" s="20" t="s">
        <v>29</v>
      </c>
      <c r="G12" s="16"/>
      <c r="H12" s="16"/>
      <c r="I12" s="17">
        <f>Tabela2145[[#This Row],[Custo Projetado]]-Tabela2145[[#This Row],[Custo Real]]</f>
        <v>0</v>
      </c>
    </row>
    <row r="13" spans="1:9" x14ac:dyDescent="0.2">
      <c r="A13" s="20" t="s">
        <v>46</v>
      </c>
      <c r="B13" s="16"/>
      <c r="C13" s="16"/>
      <c r="D13" s="17">
        <f>Tabela1134[[#This Row],[Custo Projetado]]-Tabela1134[[#This Row],[Custo Real]]</f>
        <v>0</v>
      </c>
      <c r="E13" s="21"/>
      <c r="F13" s="20" t="s">
        <v>30</v>
      </c>
      <c r="G13" s="16"/>
      <c r="H13" s="16"/>
      <c r="I13" s="17">
        <f>Tabela2145[[#This Row],[Custo Projetado]]-Tabela2145[[#This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Tabela1134[[#This Row],[Custo Projetado]]-Tabela1134[[#This Row],[Custo Real]]</f>
        <v>400</v>
      </c>
      <c r="E14" s="21"/>
      <c r="F14" s="20" t="s">
        <v>31</v>
      </c>
      <c r="G14" s="16"/>
      <c r="H14" s="16"/>
      <c r="I14" s="17">
        <f>Tabela2145[[#This Row],[Custo Projetado]]-Tabela2145[[#This Row],[Custo Real]]</f>
        <v>0</v>
      </c>
    </row>
    <row r="15" spans="1:9" x14ac:dyDescent="0.2">
      <c r="A15" s="20" t="s">
        <v>7</v>
      </c>
      <c r="B15" s="16"/>
      <c r="C15" s="16"/>
      <c r="D15" s="17">
        <f>Tabela1134[[#This Row],[Custo Projetado]]-Tabela1134[[#This Row],[Custo Real]]</f>
        <v>0</v>
      </c>
      <c r="E15" s="21"/>
      <c r="F15" s="20" t="s">
        <v>47</v>
      </c>
      <c r="G15" s="16">
        <v>150</v>
      </c>
      <c r="H15" s="16"/>
      <c r="I15" s="17">
        <f>Tabela2145[[#This Row],[Custo Projetado]]-Tabela2145[[#This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Tabela1134[[#This Row],[Custo Projetado]]-Tabela1134[[#This Row],[Custo Real]]</f>
        <v>0</v>
      </c>
      <c r="E16" s="21"/>
      <c r="F16" s="20" t="s">
        <v>32</v>
      </c>
      <c r="G16" s="16"/>
      <c r="H16" s="16"/>
      <c r="I16" s="17">
        <f>Tabela2145[[#This Row],[Custo Projetado]]-Tabela2145[[#This Row],[Custo Real]]</f>
        <v>0</v>
      </c>
    </row>
    <row r="17" spans="1:9" x14ac:dyDescent="0.2">
      <c r="A17" s="20" t="s">
        <v>9</v>
      </c>
      <c r="B17" s="16"/>
      <c r="C17" s="16"/>
      <c r="D17" s="17">
        <f>Tabela1134[[#This Row],[Custo Projetado]]-Tabela1134[[#This Row],[Custo Real]]</f>
        <v>0</v>
      </c>
      <c r="E17" s="21"/>
      <c r="F17" s="20" t="s">
        <v>12</v>
      </c>
      <c r="G17" s="16"/>
      <c r="H17" s="16"/>
      <c r="I17" s="17">
        <f>Tabela2145[[#This Row],[Custo Projetado]]-Tabela2145[[#This Row],[Custo Real]]</f>
        <v>0</v>
      </c>
    </row>
    <row r="18" spans="1:9" x14ac:dyDescent="0.2">
      <c r="A18" s="20" t="s">
        <v>10</v>
      </c>
      <c r="B18" s="16"/>
      <c r="C18" s="16"/>
      <c r="D18" s="17">
        <f>Tabela1134[[#This Row],[Custo Projetado]]-Tabela1134[[#This Row],[Custo Real]]</f>
        <v>0</v>
      </c>
      <c r="E18" s="21"/>
      <c r="F18" s="20" t="s">
        <v>12</v>
      </c>
      <c r="G18" s="16"/>
      <c r="H18" s="16"/>
      <c r="I18" s="17">
        <f>Tabela2145[[#This Row],[Custo Projetado]]-Tabela2145[[#This Row],[Custo Real]]</f>
        <v>0</v>
      </c>
    </row>
    <row r="19" spans="1:9" x14ac:dyDescent="0.2">
      <c r="A19" s="20" t="s">
        <v>11</v>
      </c>
      <c r="B19" s="16"/>
      <c r="C19" s="16"/>
      <c r="D19" s="17">
        <f>Tabela1134[[#This Row],[Custo Projetado]]-Tabela1134[[#This Row],[Custo Real]]</f>
        <v>0</v>
      </c>
      <c r="E19" s="21"/>
      <c r="F19" s="20" t="s">
        <v>12</v>
      </c>
      <c r="G19" s="16"/>
      <c r="H19" s="16"/>
      <c r="I19" s="17">
        <f>Tabela2145[[#This Row],[Custo Projetado]]-Tabela2145[[#This Row],[Custo Real]]</f>
        <v>0</v>
      </c>
    </row>
    <row r="20" spans="1:9" x14ac:dyDescent="0.2">
      <c r="A20" s="20" t="s">
        <v>12</v>
      </c>
      <c r="B20" s="16"/>
      <c r="C20" s="16"/>
      <c r="D20" s="17">
        <f>Tabela1134[[#This Row],[Custo Projetado]]-Tabela1134[[#This Row],[Custo Real]]</f>
        <v>0</v>
      </c>
      <c r="E20" s="21"/>
      <c r="F20" s="13" t="s">
        <v>68</v>
      </c>
      <c r="G20" s="18">
        <f>SUBTOTAL(109,Tabela2145[Custo Projetado])</f>
        <v>150</v>
      </c>
      <c r="H20" s="16">
        <f>SUBTOTAL(109,Tabela2145[Custo Real])</f>
        <v>0</v>
      </c>
      <c r="I20" s="19">
        <f>SUBTOTAL(109,Tabela2145[Diferença])</f>
        <v>150</v>
      </c>
    </row>
    <row r="21" spans="1:9" x14ac:dyDescent="0.2">
      <c r="A21" s="13" t="s">
        <v>68</v>
      </c>
      <c r="B21" s="16">
        <f>SUBTOTAL(109,Tabela1134[Custo Projetado])</f>
        <v>2400</v>
      </c>
      <c r="C21" s="16">
        <f>SUBTOTAL(109,Tabela1134[Custo Real])</f>
        <v>0</v>
      </c>
      <c r="D21" s="19">
        <f>SUBTOTAL(109,Tabela1134[Diferença])</f>
        <v>2400</v>
      </c>
      <c r="E21" s="21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21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21"/>
      <c r="F23" s="20" t="s">
        <v>79</v>
      </c>
      <c r="G23" s="16">
        <v>1000</v>
      </c>
      <c r="H23" s="16"/>
      <c r="I23" s="17">
        <f>Tabela8142[[#This Row],[Custo Projetado]]-Tabela8142[[#This Row],[Custo Real]]</f>
        <v>1000</v>
      </c>
    </row>
    <row r="24" spans="1:9" x14ac:dyDescent="0.2">
      <c r="A24" s="20" t="s">
        <v>72</v>
      </c>
      <c r="B24" s="16"/>
      <c r="C24" s="16"/>
      <c r="D24" s="17">
        <f>Tabela3141[[#This Row],[Custo Projetado]]-Tabela3141[[#This Row],[Custo Real]]</f>
        <v>0</v>
      </c>
      <c r="E24" s="21"/>
      <c r="F24" s="20" t="s">
        <v>39</v>
      </c>
      <c r="G24" s="16"/>
      <c r="H24" s="16"/>
      <c r="I24" s="17">
        <f>Tabela8142[[#This Row],[Custo Projetado]]-Tabela8142[[#This Row],[Custo Real]]</f>
        <v>0</v>
      </c>
    </row>
    <row r="25" spans="1:9" x14ac:dyDescent="0.2">
      <c r="A25" s="20" t="s">
        <v>45</v>
      </c>
      <c r="B25" s="16"/>
      <c r="C25" s="16"/>
      <c r="D25" s="17">
        <f>Tabela3141[[#This Row],[Custo Projetado]]-Tabela3141[[#This Row],[Custo Real]]</f>
        <v>0</v>
      </c>
      <c r="E25" s="21"/>
      <c r="F25" s="20" t="s">
        <v>48</v>
      </c>
      <c r="G25" s="16">
        <v>3500</v>
      </c>
      <c r="H25" s="16"/>
      <c r="I25" s="17">
        <f>Tabela8142[[#This Row],[Custo Projetado]]-Tabela8142[[#This Row],[Custo Real]]</f>
        <v>3500</v>
      </c>
    </row>
    <row r="26" spans="1:9" x14ac:dyDescent="0.2">
      <c r="A26" s="20" t="s">
        <v>13</v>
      </c>
      <c r="B26" s="16">
        <v>85</v>
      </c>
      <c r="C26" s="16"/>
      <c r="D26" s="17">
        <f>Tabela3141[[#This Row],[Custo Projetado]]-Tabela3141[[#This Row],[Custo Real]]</f>
        <v>85</v>
      </c>
      <c r="E26" s="21"/>
      <c r="F26" s="20" t="s">
        <v>80</v>
      </c>
      <c r="G26" s="16">
        <v>650</v>
      </c>
      <c r="H26" s="16"/>
      <c r="I26" s="17">
        <f>Tabela8142[[#This Row],[Custo Projetado]]-Tabela8142[[#This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Tabela3141[[#This Row],[Custo Projetado]]-Tabela3141[[#This Row],[Custo Real]]</f>
        <v>86</v>
      </c>
      <c r="E27" s="21"/>
      <c r="F27" s="20" t="s">
        <v>48</v>
      </c>
      <c r="G27" s="16"/>
      <c r="H27" s="16"/>
      <c r="I27" s="17">
        <f>Tabela8142[[#This Row],[Custo Projetado]]-Tabela8142[[#This Row],[Custo Real]]</f>
        <v>0</v>
      </c>
    </row>
    <row r="28" spans="1:9" x14ac:dyDescent="0.2">
      <c r="A28" s="20" t="s">
        <v>75</v>
      </c>
      <c r="B28" s="24"/>
      <c r="C28" s="24"/>
      <c r="D28" s="25">
        <f>Tabela3141[[#This Row],[Custo Projetado]]-Tabela3141[[#This Row],[Custo Real]]</f>
        <v>0</v>
      </c>
      <c r="E28" s="21"/>
      <c r="F28" s="20" t="s">
        <v>12</v>
      </c>
      <c r="G28" s="16"/>
      <c r="H28" s="16"/>
      <c r="I28" s="17">
        <f>Tabela8142[[#This Row],[Custo Projetado]]-Tabela8142[[#This Row],[Custo Real]]</f>
        <v>0</v>
      </c>
    </row>
    <row r="29" spans="1:9" x14ac:dyDescent="0.2">
      <c r="A29" s="20" t="s">
        <v>14</v>
      </c>
      <c r="B29" s="16"/>
      <c r="C29" s="16"/>
      <c r="D29" s="17">
        <f>Tabela3141[[#This Row],[Custo Projetado]]-Tabela3141[[#This Row],[Custo Real]]</f>
        <v>0</v>
      </c>
      <c r="E29" s="21"/>
      <c r="F29" s="13" t="s">
        <v>68</v>
      </c>
      <c r="G29" s="16">
        <f>SUBTOTAL(109,Tabela8142[Custo Projetado])</f>
        <v>5150</v>
      </c>
      <c r="H29" s="16">
        <f>SUBTOTAL(109,Tabela8142[Custo Real])</f>
        <v>0</v>
      </c>
      <c r="I29" s="19">
        <f>SUBTOTAL(109,Tabela8142[Diferença])</f>
        <v>5150</v>
      </c>
    </row>
    <row r="30" spans="1:9" x14ac:dyDescent="0.2">
      <c r="A30" s="20" t="s">
        <v>15</v>
      </c>
      <c r="B30" s="16"/>
      <c r="C30" s="16"/>
      <c r="D30" s="17">
        <f>Tabela3141[[#This Row],[Custo Projetado]]-Tabela3141[[#This Row],[Custo Real]]</f>
        <v>0</v>
      </c>
      <c r="E30" s="21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Tabela3141[[#This Row],[Custo Projetado]]-Tabela3141[[#This Row],[Custo Real]]</f>
        <v>200</v>
      </c>
      <c r="E31" s="21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Tabela3141[[#This Row],[Custo Projetado]]-Tabela3141[[#This Row],[Custo Real]]</f>
        <v>0</v>
      </c>
      <c r="E32" s="21"/>
      <c r="F32" s="20" t="s">
        <v>34</v>
      </c>
      <c r="G32" s="16"/>
      <c r="H32" s="16"/>
      <c r="I32" s="17">
        <f>Tabela9140[[#This Row],[Custo Projetado]]-Tabela9140[[#This Row],[Custo Real]]</f>
        <v>0</v>
      </c>
    </row>
    <row r="33" spans="1:9" x14ac:dyDescent="0.2">
      <c r="A33" s="26" t="s">
        <v>68</v>
      </c>
      <c r="B33" s="27">
        <f>SUBTOTAL(109,Tabela3141[Custo Projetado])</f>
        <v>371</v>
      </c>
      <c r="C33" s="27">
        <f>SUBTOTAL(109,Tabela3141[Custo Real])</f>
        <v>0</v>
      </c>
      <c r="D33" s="28">
        <f>SUBTOTAL(109,Tabela3141[Diferença])</f>
        <v>371</v>
      </c>
      <c r="E33" s="21"/>
      <c r="F33" s="20" t="s">
        <v>35</v>
      </c>
      <c r="G33" s="16"/>
      <c r="H33" s="16"/>
      <c r="I33" s="17">
        <f>Tabela9140[[#This Row],[Custo Projetado]]-Tabela9140[[#This Row],[Custo Real]]</f>
        <v>0</v>
      </c>
    </row>
    <row r="34" spans="1:9" x14ac:dyDescent="0.2">
      <c r="A34" s="46"/>
      <c r="B34" s="46"/>
      <c r="C34" s="46"/>
      <c r="D34" s="46"/>
      <c r="E34" s="21"/>
      <c r="F34" s="20" t="s">
        <v>36</v>
      </c>
      <c r="G34" s="16"/>
      <c r="H34" s="16"/>
      <c r="I34" s="17">
        <f>Tabela9140[[#This Row],[Custo Projetado]]-Tabela9140[[#This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21"/>
      <c r="F35" s="20" t="s">
        <v>12</v>
      </c>
      <c r="G35" s="16"/>
      <c r="H35" s="16"/>
      <c r="I35" s="17">
        <f>Tabela9140[[#This Row],[Custo Projetado]]-Tabela9140[[#This Row],[Custo Real]]</f>
        <v>0</v>
      </c>
    </row>
    <row r="36" spans="1:9" x14ac:dyDescent="0.2">
      <c r="A36" s="20" t="s">
        <v>16</v>
      </c>
      <c r="B36" s="16"/>
      <c r="C36" s="16"/>
      <c r="D36" s="17">
        <f>Tabela4135[[#This Row],[Custo Projetado]]-Tabela4135[[#This Row],[Custo Real]]</f>
        <v>0</v>
      </c>
      <c r="E36" s="21"/>
      <c r="F36" s="13" t="s">
        <v>68</v>
      </c>
      <c r="G36" s="16">
        <f>SUBTOTAL(109,Tabela9140[Custo Projetado])</f>
        <v>0</v>
      </c>
      <c r="H36" s="16">
        <f>SUBTOTAL(109,Tabela9140[Custo Real])</f>
        <v>0</v>
      </c>
      <c r="I36" s="19">
        <f>SUBTOTAL(109,Tabela9140[Diferença])</f>
        <v>0</v>
      </c>
    </row>
    <row r="37" spans="1:9" x14ac:dyDescent="0.2">
      <c r="A37" s="20" t="s">
        <v>17</v>
      </c>
      <c r="B37" s="16"/>
      <c r="C37" s="16"/>
      <c r="D37" s="17">
        <f>Tabela4135[[#This Row],[Custo Projetado]]-Tabela4135[[#This Row],[Custo Real]]</f>
        <v>0</v>
      </c>
      <c r="E37" s="21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Tabela4135[[#This Row],[Custo Projetado]]-Tabela4135[[#This Row],[Custo Real]]</f>
        <v>0</v>
      </c>
      <c r="E38" s="21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Tabela4135[[#This Row],[Custo Projetado]]-Tabela4135[[#This Row],[Custo Real]]</f>
        <v>0</v>
      </c>
      <c r="E39" s="21"/>
      <c r="F39" s="20" t="s">
        <v>49</v>
      </c>
      <c r="G39" s="16"/>
      <c r="H39" s="16"/>
      <c r="I39" s="17">
        <f>Tabela10143[[#This Row],[Custo Projetado]]-Tabela10143[[#This Row],[Custo Real]]</f>
        <v>0</v>
      </c>
    </row>
    <row r="40" spans="1:9" x14ac:dyDescent="0.2">
      <c r="A40" s="13" t="s">
        <v>68</v>
      </c>
      <c r="B40" s="16">
        <f>SUBTOTAL(109,Tabela4135[Custo Projetado])</f>
        <v>0</v>
      </c>
      <c r="C40" s="16">
        <f>SUBTOTAL(109,Tabela4135[Custo Real])</f>
        <v>0</v>
      </c>
      <c r="D40" s="19">
        <f>SUBTOTAL(109,Tabela4135[Diferença])</f>
        <v>0</v>
      </c>
      <c r="E40" s="21"/>
      <c r="F40" s="20" t="s">
        <v>50</v>
      </c>
      <c r="G40" s="16"/>
      <c r="H40" s="16"/>
      <c r="I40" s="17">
        <f>Tabela10143[[#This Row],[Custo Projetado]]-Tabela10143[[#This Row],[Custo Real]]</f>
        <v>0</v>
      </c>
    </row>
    <row r="41" spans="1:9" x14ac:dyDescent="0.2">
      <c r="A41" s="46"/>
      <c r="B41" s="46"/>
      <c r="C41" s="46"/>
      <c r="D41" s="46"/>
      <c r="E41" s="21"/>
      <c r="F41" s="20" t="s">
        <v>12</v>
      </c>
      <c r="G41" s="16"/>
      <c r="H41" s="16"/>
      <c r="I41" s="17">
        <f>Tabela10143[[#This Row],[Custo Projetado]]-Tabela10143[[#This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21"/>
      <c r="F42" s="13" t="s">
        <v>68</v>
      </c>
      <c r="G42" s="16">
        <f>SUBTOTAL(109,Tabela10143[Custo Projetado])</f>
        <v>0</v>
      </c>
      <c r="H42" s="16">
        <f>SUBTOTAL(109,Tabela10143[Custo Real])</f>
        <v>0</v>
      </c>
      <c r="I42" s="19">
        <f>SUBTOTAL(109,Tabela10143[Diferença])</f>
        <v>0</v>
      </c>
    </row>
    <row r="43" spans="1:9" x14ac:dyDescent="0.2">
      <c r="A43" s="20" t="s">
        <v>19</v>
      </c>
      <c r="B43" s="16"/>
      <c r="C43" s="16"/>
      <c r="D43" s="17">
        <f>Tabela5139[[#This Row],[Custo Projetado]]-Tabela5139[[#This Row],[Custo Real]]</f>
        <v>0</v>
      </c>
      <c r="E43" s="21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Tabela5139[[#This Row],[Custo Projetado]]-Tabela5139[[#This Row],[Custo Real]]</f>
        <v>400</v>
      </c>
      <c r="E44" s="21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Tabela5139[[#This Row],[Custo Projetado]]-Tabela5139[[#This Row],[Custo Real]]</f>
        <v>0</v>
      </c>
      <c r="E45" s="21"/>
      <c r="F45" s="20" t="s">
        <v>73</v>
      </c>
      <c r="G45" s="16"/>
      <c r="H45" s="16"/>
      <c r="I45" s="17">
        <f>Tabela11138[[#This Row],[Custo Projetado]]-Tabela11138[[#This Row],[Custo Real]]</f>
        <v>0</v>
      </c>
    </row>
    <row r="46" spans="1:9" x14ac:dyDescent="0.2">
      <c r="A46" s="13" t="s">
        <v>68</v>
      </c>
      <c r="B46" s="16">
        <f>SUBTOTAL(109,Tabela5139[Custo Projetado])</f>
        <v>400</v>
      </c>
      <c r="C46" s="16">
        <f>SUBTOTAL(109,Tabela5139[Custo Real])</f>
        <v>0</v>
      </c>
      <c r="D46" s="19">
        <f>SUBTOTAL(109,Tabela5139[Diferença])</f>
        <v>400</v>
      </c>
      <c r="E46" s="21"/>
      <c r="F46" s="20" t="s">
        <v>74</v>
      </c>
      <c r="G46" s="16"/>
      <c r="H46" s="16"/>
      <c r="I46" s="17">
        <f>Tabela11138[[#This Row],[Custo Projetado]]-Tabela11138[[#This Row],[Custo Real]]</f>
        <v>0</v>
      </c>
    </row>
    <row r="47" spans="1:9" x14ac:dyDescent="0.2">
      <c r="A47" s="46"/>
      <c r="B47" s="46"/>
      <c r="C47" s="46"/>
      <c r="D47" s="46"/>
      <c r="E47" s="21"/>
      <c r="F47" s="20" t="s">
        <v>43</v>
      </c>
      <c r="G47" s="16"/>
      <c r="H47" s="16"/>
      <c r="I47" s="17">
        <f>Tabela11138[[#This Row],[Custo Projetado]]-Tabela11138[[#This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21"/>
      <c r="F48" s="13" t="s">
        <v>68</v>
      </c>
      <c r="G48" s="16">
        <f>SUBTOTAL(109,Tabela11138[Custo Projetado])</f>
        <v>0</v>
      </c>
      <c r="H48" s="16">
        <f>SUBTOTAL(109,Tabela11138[Custo Real])</f>
        <v>0</v>
      </c>
      <c r="I48" s="19">
        <f>SUBTOTAL(109,Tabela11138[Diferença])</f>
        <v>0</v>
      </c>
    </row>
    <row r="49" spans="1:9" x14ac:dyDescent="0.2">
      <c r="A49" s="20" t="s">
        <v>20</v>
      </c>
      <c r="B49" s="16"/>
      <c r="C49" s="16"/>
      <c r="D49" s="17">
        <f>Tabela6137[[#This Row],[Custo Projetado]]-Tabela6137[[#This Row],[Custo Real]]</f>
        <v>0</v>
      </c>
      <c r="E49" s="21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Tabela6137[[#This Row],[Custo Projetado]]-Tabela6137[[#This Row],[Custo Real]]</f>
        <v>0</v>
      </c>
      <c r="E50" s="21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Tabela6137[[#This Row],[Custo Projetado]]-Tabela6137[[#This Row],[Custo Real]]</f>
        <v>0</v>
      </c>
      <c r="E51" s="21"/>
      <c r="F51" s="20" t="s">
        <v>37</v>
      </c>
      <c r="G51" s="16"/>
      <c r="H51" s="16"/>
      <c r="I51" s="17">
        <f>Tabela12136[[#This Row],[Custo Projetado]]-Tabela12136[[#This Row],[Custo Real]]</f>
        <v>0</v>
      </c>
    </row>
    <row r="52" spans="1:9" x14ac:dyDescent="0.2">
      <c r="A52" s="20" t="s">
        <v>21</v>
      </c>
      <c r="B52" s="16"/>
      <c r="C52" s="16"/>
      <c r="D52" s="17">
        <f>Tabela6137[[#This Row],[Custo Projetado]]-Tabela6137[[#This Row],[Custo Real]]</f>
        <v>0</v>
      </c>
      <c r="E52" s="21"/>
      <c r="F52" s="20" t="s">
        <v>38</v>
      </c>
      <c r="G52" s="16"/>
      <c r="H52" s="16"/>
      <c r="I52" s="17">
        <f>Tabela12136[[#This Row],[Custo Projetado]]-Tabela12136[[#This Row],[Custo Real]]</f>
        <v>0</v>
      </c>
    </row>
    <row r="53" spans="1:9" x14ac:dyDescent="0.2">
      <c r="A53" s="20" t="s">
        <v>12</v>
      </c>
      <c r="B53" s="16"/>
      <c r="C53" s="16"/>
      <c r="D53" s="17">
        <f>Tabela6137[[#This Row],[Custo Projetado]]-Tabela6137[[#This Row],[Custo Real]]</f>
        <v>0</v>
      </c>
      <c r="E53" s="21"/>
      <c r="F53" s="20" t="s">
        <v>44</v>
      </c>
      <c r="G53" s="16"/>
      <c r="H53" s="16"/>
      <c r="I53" s="17">
        <f>Tabela12136[[#This Row],[Custo Projetado]]-Tabela12136[[#This Row],[Custo Real]]</f>
        <v>0</v>
      </c>
    </row>
    <row r="54" spans="1:9" x14ac:dyDescent="0.2">
      <c r="A54" s="13" t="s">
        <v>68</v>
      </c>
      <c r="B54" s="16">
        <f>SUBTOTAL(109,Tabela6137[Custo Projetado])</f>
        <v>0</v>
      </c>
      <c r="C54" s="16">
        <f>SUBTOTAL(109,Tabela6137[Custo Real])</f>
        <v>0</v>
      </c>
      <c r="D54" s="19">
        <f>SUBTOTAL(109,Tabela6137[Diferença])</f>
        <v>0</v>
      </c>
      <c r="E54" s="21"/>
      <c r="F54" s="20" t="s">
        <v>12</v>
      </c>
      <c r="G54" s="16"/>
      <c r="H54" s="16"/>
      <c r="I54" s="17">
        <f>Tabela12136[[#This Row],[Custo Projetado]]-Tabela12136[[#This Row],[Custo Real]]</f>
        <v>0</v>
      </c>
    </row>
    <row r="55" spans="1:9" x14ac:dyDescent="0.2">
      <c r="A55" s="46"/>
      <c r="B55" s="46"/>
      <c r="C55" s="46"/>
      <c r="D55" s="46"/>
      <c r="E55" s="21"/>
      <c r="F55" s="13" t="s">
        <v>68</v>
      </c>
      <c r="G55" s="16">
        <f>SUBTOTAL(109,Tabela12136[Custo Projetado])</f>
        <v>0</v>
      </c>
      <c r="H55" s="16">
        <f>SUBTOTAL(109,Tabela12136[Custo Real])</f>
        <v>0</v>
      </c>
      <c r="I55" s="19">
        <f>SUBTOTAL(109,Tabela12136[Diferença])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Tabela7144[[#This Row],[Custo Projetado]]-Tabela7144[[#This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9191</v>
      </c>
    </row>
    <row r="58" spans="1:9" x14ac:dyDescent="0.2">
      <c r="A58" s="20" t="s">
        <v>25</v>
      </c>
      <c r="B58" s="16">
        <v>100</v>
      </c>
      <c r="C58" s="16"/>
      <c r="D58" s="17">
        <f>Tabela7144[[#This Row],[Custo Projetado]]-Tabela7144[[#This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Tabela7144[[#This Row],[Custo Projetado]]-Tabela7144[[#This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Tabela7144[[#This Row],[Custo Projetado]]-Tabela7144[[#This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Tabela7144[[#This Row],[Custo Projetado]]-Tabela7144[[#This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9191</v>
      </c>
    </row>
    <row r="62" spans="1:9" x14ac:dyDescent="0.2">
      <c r="A62" s="20" t="s">
        <v>81</v>
      </c>
      <c r="B62" s="16">
        <v>470</v>
      </c>
      <c r="C62" s="16"/>
      <c r="D62" s="17">
        <f>Tabela7144[[#This Row],[Custo Projetado]]-Tabela7144[[#This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Tabela7144[[#This Row],[Custo Projetado]]-Tabela7144[[#This Row],[Custo Real]]</f>
        <v>0</v>
      </c>
    </row>
    <row r="64" spans="1:9" x14ac:dyDescent="0.2">
      <c r="A64" s="13" t="s">
        <v>68</v>
      </c>
      <c r="B64" s="16">
        <f>SUBTOTAL(109,Tabela7144[Custo Projetado])</f>
        <v>720</v>
      </c>
      <c r="C64" s="16">
        <f>SUBTOTAL(109,Tabela7144[Custo Real])</f>
        <v>0</v>
      </c>
      <c r="D64" s="19">
        <f>SUBTOTAL(109,Tabela7144[Diferença])</f>
        <v>720</v>
      </c>
    </row>
  </sheetData>
  <mergeCells count="33">
    <mergeCell ref="F59:H60"/>
    <mergeCell ref="I59:I60"/>
    <mergeCell ref="F61:H62"/>
    <mergeCell ref="I61:I62"/>
    <mergeCell ref="F43:I43"/>
    <mergeCell ref="A47:D47"/>
    <mergeCell ref="F49:I49"/>
    <mergeCell ref="A55:D55"/>
    <mergeCell ref="F56:I56"/>
    <mergeCell ref="F57:H58"/>
    <mergeCell ref="I57:I58"/>
    <mergeCell ref="A41:D41"/>
    <mergeCell ref="A6:A8"/>
    <mergeCell ref="B6:C6"/>
    <mergeCell ref="B7:C7"/>
    <mergeCell ref="F7:H8"/>
    <mergeCell ref="F21:I21"/>
    <mergeCell ref="A22:D22"/>
    <mergeCell ref="F30:I30"/>
    <mergeCell ref="A34:D34"/>
    <mergeCell ref="F37:I37"/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549D-4492-481D-8088-BF0BFCAABE09}">
  <dimension ref="A1:I64"/>
  <sheetViews>
    <sheetView tabSelected="1" workbookViewId="0">
      <selection activeCell="B20" sqref="B20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1996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33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-1996</v>
      </c>
    </row>
    <row r="8" spans="1:9" x14ac:dyDescent="0.2">
      <c r="A8" s="39"/>
      <c r="B8" s="44" t="s">
        <v>42</v>
      </c>
      <c r="C8" s="45"/>
      <c r="D8" s="33">
        <f>SUM(D6:D7)</f>
        <v>0</v>
      </c>
      <c r="E8" s="2"/>
      <c r="F8" s="42"/>
      <c r="G8" s="42"/>
      <c r="H8" s="42"/>
      <c r="I8" s="43"/>
    </row>
    <row r="9" spans="1:9" x14ac:dyDescent="0.2">
      <c r="A9" s="34"/>
      <c r="B9" s="34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Tabela1134263850861461821942[[#This Row],[Custo Projetado]]-Tabela1134263850861461821942[[#This Row],[Custo Real]]</f>
        <v>1900</v>
      </c>
      <c r="E11" s="32"/>
      <c r="F11" s="20" t="s">
        <v>28</v>
      </c>
      <c r="G11" s="16">
        <v>0</v>
      </c>
      <c r="H11" s="16"/>
      <c r="I11" s="17">
        <f>Tabela21453749619715719320513[[#This Row],[Custo Projetado]]-Tabela21453749619715719320513[[#This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Tabela1134263850861461821942[[#This Row],[Custo Projetado]]-Tabela1134263850861461821942[[#This Row],[Custo Real]]</f>
        <v>100</v>
      </c>
      <c r="E12" s="32"/>
      <c r="F12" s="20" t="s">
        <v>29</v>
      </c>
      <c r="G12" s="16"/>
      <c r="H12" s="16"/>
      <c r="I12" s="17">
        <f>Tabela21453749619715719320513[[#This Row],[Custo Projetado]]-Tabela21453749619715719320513[[#This Row],[Custo Real]]</f>
        <v>0</v>
      </c>
    </row>
    <row r="13" spans="1:9" x14ac:dyDescent="0.2">
      <c r="A13" s="20" t="s">
        <v>46</v>
      </c>
      <c r="B13" s="16"/>
      <c r="C13" s="16"/>
      <c r="D13" s="17">
        <f>Tabela1134263850861461821942[[#This Row],[Custo Projetado]]-Tabela1134263850861461821942[[#This Row],[Custo Real]]</f>
        <v>0</v>
      </c>
      <c r="E13" s="32"/>
      <c r="F13" s="20" t="s">
        <v>30</v>
      </c>
      <c r="G13" s="16"/>
      <c r="H13" s="16"/>
      <c r="I13" s="17">
        <f>Tabela21453749619715719320513[[#This Row],[Custo Projetado]]-Tabela21453749619715719320513[[#This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Tabela1134263850861461821942[[#This Row],[Custo Projetado]]-Tabela1134263850861461821942[[#This Row],[Custo Real]]</f>
        <v>400</v>
      </c>
      <c r="E14" s="32"/>
      <c r="F14" s="20" t="s">
        <v>31</v>
      </c>
      <c r="G14" s="16"/>
      <c r="H14" s="16"/>
      <c r="I14" s="17">
        <f>Tabela21453749619715719320513[[#This Row],[Custo Projetado]]-Tabela21453749619715719320513[[#This Row],[Custo Real]]</f>
        <v>0</v>
      </c>
    </row>
    <row r="15" spans="1:9" x14ac:dyDescent="0.2">
      <c r="A15" s="20" t="s">
        <v>7</v>
      </c>
      <c r="B15" s="16"/>
      <c r="C15" s="16"/>
      <c r="D15" s="17">
        <f>Tabela1134263850861461821942[[#This Row],[Custo Projetado]]-Tabela1134263850861461821942[[#This Row],[Custo Real]]</f>
        <v>0</v>
      </c>
      <c r="E15" s="32"/>
      <c r="F15" s="20" t="s">
        <v>47</v>
      </c>
      <c r="G15" s="16">
        <v>150</v>
      </c>
      <c r="H15" s="16"/>
      <c r="I15" s="17">
        <f>Tabela21453749619715719320513[[#This Row],[Custo Projetado]]-Tabela21453749619715719320513[[#This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Tabela1134263850861461821942[[#This Row],[Custo Projetado]]-Tabela1134263850861461821942[[#This Row],[Custo Real]]</f>
        <v>0</v>
      </c>
      <c r="E16" s="32"/>
      <c r="F16" s="20" t="s">
        <v>32</v>
      </c>
      <c r="G16" s="16"/>
      <c r="H16" s="16"/>
      <c r="I16" s="17">
        <f>Tabela21453749619715719320513[[#This Row],[Custo Projetado]]-Tabela21453749619715719320513[[#This Row],[Custo Real]]</f>
        <v>0</v>
      </c>
    </row>
    <row r="17" spans="1:9" x14ac:dyDescent="0.2">
      <c r="A17" s="20" t="s">
        <v>9</v>
      </c>
      <c r="B17" s="16"/>
      <c r="C17" s="16"/>
      <c r="D17" s="17">
        <f>Tabela1134263850861461821942[[#This Row],[Custo Projetado]]-Tabela1134263850861461821942[[#This Row],[Custo Real]]</f>
        <v>0</v>
      </c>
      <c r="E17" s="32"/>
      <c r="F17" s="20" t="s">
        <v>12</v>
      </c>
      <c r="G17" s="16"/>
      <c r="H17" s="16"/>
      <c r="I17" s="17">
        <f>Tabela21453749619715719320513[[#This Row],[Custo Projetado]]-Tabela21453749619715719320513[[#This Row],[Custo Real]]</f>
        <v>0</v>
      </c>
    </row>
    <row r="18" spans="1:9" x14ac:dyDescent="0.2">
      <c r="A18" s="20" t="s">
        <v>10</v>
      </c>
      <c r="B18" s="16"/>
      <c r="C18" s="16"/>
      <c r="D18" s="17">
        <f>Tabela1134263850861461821942[[#This Row],[Custo Projetado]]-Tabela1134263850861461821942[[#This Row],[Custo Real]]</f>
        <v>0</v>
      </c>
      <c r="E18" s="32"/>
      <c r="F18" s="20" t="s">
        <v>12</v>
      </c>
      <c r="G18" s="16"/>
      <c r="H18" s="16"/>
      <c r="I18" s="17">
        <f>Tabela21453749619715719320513[[#This Row],[Custo Projetado]]-Tabela21453749619715719320513[[#This Row],[Custo Real]]</f>
        <v>0</v>
      </c>
    </row>
    <row r="19" spans="1:9" x14ac:dyDescent="0.2">
      <c r="A19" s="20" t="s">
        <v>11</v>
      </c>
      <c r="B19" s="16"/>
      <c r="C19" s="16"/>
      <c r="D19" s="17">
        <f>Tabela1134263850861461821942[[#This Row],[Custo Projetado]]-Tabela1134263850861461821942[[#This Row],[Custo Real]]</f>
        <v>0</v>
      </c>
      <c r="E19" s="32"/>
      <c r="F19" s="20" t="s">
        <v>12</v>
      </c>
      <c r="G19" s="16"/>
      <c r="H19" s="16"/>
      <c r="I19" s="17">
        <f>Tabela21453749619715719320513[[#This Row],[Custo Projetado]]-Tabela21453749619715719320513[[#This Row],[Custo Real]]</f>
        <v>0</v>
      </c>
    </row>
    <row r="20" spans="1:9" x14ac:dyDescent="0.2">
      <c r="A20" s="20" t="s">
        <v>38</v>
      </c>
      <c r="B20" s="16">
        <v>1800</v>
      </c>
      <c r="C20" s="16"/>
      <c r="D20" s="17">
        <f>Tabela1134263850861461821942[[#This Row],[Custo Projetado]]-Tabela1134263850861461821942[[#This Row],[Custo Real]]</f>
        <v>1800</v>
      </c>
      <c r="E20" s="32"/>
      <c r="F20" s="13" t="s">
        <v>68</v>
      </c>
      <c r="G20" s="18">
        <f>SUBTOTAL(109,Tabela21453749619715719320513[Custo Projetado])</f>
        <v>150</v>
      </c>
      <c r="H20" s="16">
        <f>SUBTOTAL(109,Tabela21453749619715719320513[Custo Real])</f>
        <v>0</v>
      </c>
      <c r="I20" s="19">
        <f>SUBTOTAL(109,Tabela21453749619715719320513[Diferença])</f>
        <v>150</v>
      </c>
    </row>
    <row r="21" spans="1:9" x14ac:dyDescent="0.2">
      <c r="A21" s="13" t="s">
        <v>68</v>
      </c>
      <c r="B21" s="16">
        <f>SUBTOTAL(109,Tabela1134263850861461821942[Custo Projetado])</f>
        <v>4200</v>
      </c>
      <c r="C21" s="16">
        <f>SUBTOTAL(109,Tabela1134263850861461821942[Custo Real])</f>
        <v>0</v>
      </c>
      <c r="D21" s="19">
        <f>SUBTOTAL(109,Tabela1134263850861461821942[Diferença])</f>
        <v>4200</v>
      </c>
      <c r="E21" s="32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32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32"/>
      <c r="F23" s="20" t="s">
        <v>79</v>
      </c>
      <c r="G23" s="16"/>
      <c r="H23" s="16"/>
      <c r="I23" s="17">
        <f>Tabela81423446589415419020210[[#This Row],[Custo Projetado]]-Tabela81423446589415419020210[[#This Row],[Custo Real]]</f>
        <v>0</v>
      </c>
    </row>
    <row r="24" spans="1:9" x14ac:dyDescent="0.2">
      <c r="A24" s="20" t="s">
        <v>72</v>
      </c>
      <c r="B24" s="16"/>
      <c r="C24" s="16"/>
      <c r="D24" s="17">
        <f>Tabela3141334557931531892019[[#This Row],[Custo Projetado]]-Tabela3141334557931531892019[[#This Row],[Custo Real]]</f>
        <v>0</v>
      </c>
      <c r="E24" s="32"/>
      <c r="F24" s="20" t="s">
        <v>39</v>
      </c>
      <c r="G24" s="16"/>
      <c r="H24" s="16"/>
      <c r="I24" s="17">
        <f>Tabela81423446589415419020210[[#This Row],[Custo Projetado]]-Tabela81423446589415419020210[[#This Row],[Custo Real]]</f>
        <v>0</v>
      </c>
    </row>
    <row r="25" spans="1:9" x14ac:dyDescent="0.2">
      <c r="A25" s="20" t="s">
        <v>45</v>
      </c>
      <c r="B25" s="16"/>
      <c r="C25" s="16"/>
      <c r="D25" s="17">
        <f>Tabela3141334557931531892019[[#This Row],[Custo Projetado]]-Tabela3141334557931531892019[[#This Row],[Custo Real]]</f>
        <v>0</v>
      </c>
      <c r="E25" s="32"/>
      <c r="F25" s="20" t="s">
        <v>48</v>
      </c>
      <c r="G25" s="16">
        <v>113</v>
      </c>
      <c r="H25" s="16"/>
      <c r="I25" s="17">
        <f>Tabela81423446589415419020210[[#This Row],[Custo Projetado]]-Tabela81423446589415419020210[[#This Row],[Custo Real]]</f>
        <v>113</v>
      </c>
    </row>
    <row r="26" spans="1:9" x14ac:dyDescent="0.2">
      <c r="A26" s="20" t="s">
        <v>13</v>
      </c>
      <c r="B26" s="16">
        <v>85</v>
      </c>
      <c r="C26" s="16"/>
      <c r="D26" s="17">
        <f>Tabela3141334557931531892019[[#This Row],[Custo Projetado]]-Tabela3141334557931531892019[[#This Row],[Custo Real]]</f>
        <v>85</v>
      </c>
      <c r="E26" s="32"/>
      <c r="F26" s="20" t="s">
        <v>80</v>
      </c>
      <c r="G26" s="16">
        <v>650</v>
      </c>
      <c r="H26" s="16"/>
      <c r="I26" s="17">
        <f>Tabela81423446589415419020210[[#This Row],[Custo Projetado]]-Tabela81423446589415419020210[[#This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Tabela3141334557931531892019[[#This Row],[Custo Projetado]]-Tabela3141334557931531892019[[#This Row],[Custo Real]]</f>
        <v>86</v>
      </c>
      <c r="E27" s="32"/>
      <c r="F27" s="20" t="s">
        <v>48</v>
      </c>
      <c r="G27" s="16"/>
      <c r="H27" s="16"/>
      <c r="I27" s="17">
        <f>Tabela81423446589415419020210[[#This Row],[Custo Projetado]]-Tabela81423446589415419020210[[#This Row],[Custo Real]]</f>
        <v>0</v>
      </c>
    </row>
    <row r="28" spans="1:9" x14ac:dyDescent="0.2">
      <c r="A28" s="20" t="s">
        <v>75</v>
      </c>
      <c r="B28" s="24"/>
      <c r="C28" s="24"/>
      <c r="D28" s="25">
        <f>Tabela3141334557931531892019[[#This Row],[Custo Projetado]]-Tabela3141334557931531892019[[#This Row],[Custo Real]]</f>
        <v>0</v>
      </c>
      <c r="E28" s="32"/>
      <c r="F28" s="20" t="s">
        <v>12</v>
      </c>
      <c r="G28" s="16"/>
      <c r="H28" s="16"/>
      <c r="I28" s="17">
        <f>Tabela81423446589415419020210[[#This Row],[Custo Projetado]]-Tabela81423446589415419020210[[#This Row],[Custo Real]]</f>
        <v>0</v>
      </c>
    </row>
    <row r="29" spans="1:9" x14ac:dyDescent="0.2">
      <c r="A29" s="20" t="s">
        <v>14</v>
      </c>
      <c r="B29" s="16"/>
      <c r="C29" s="16"/>
      <c r="D29" s="17">
        <f>Tabela3141334557931531892019[[#This Row],[Custo Projetado]]-Tabela3141334557931531892019[[#This Row],[Custo Real]]</f>
        <v>0</v>
      </c>
      <c r="E29" s="32"/>
      <c r="F29" s="13" t="s">
        <v>68</v>
      </c>
      <c r="G29" s="16">
        <f>SUBTOTAL(109,Tabela81423446589415419020210[Custo Projetado])</f>
        <v>763</v>
      </c>
      <c r="H29" s="16">
        <f>SUBTOTAL(109,Tabela81423446589415419020210[Custo Real])</f>
        <v>0</v>
      </c>
      <c r="I29" s="19">
        <f>SUBTOTAL(109,Tabela81423446589415419020210[Diferença])</f>
        <v>763</v>
      </c>
    </row>
    <row r="30" spans="1:9" x14ac:dyDescent="0.2">
      <c r="A30" s="20" t="s">
        <v>15</v>
      </c>
      <c r="B30" s="16"/>
      <c r="C30" s="16"/>
      <c r="D30" s="17">
        <f>Tabela3141334557931531892019[[#This Row],[Custo Projetado]]-Tabela3141334557931531892019[[#This Row],[Custo Real]]</f>
        <v>0</v>
      </c>
      <c r="E30" s="32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Tabela3141334557931531892019[[#This Row],[Custo Projetado]]-Tabela3141334557931531892019[[#This Row],[Custo Real]]</f>
        <v>200</v>
      </c>
      <c r="E31" s="32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Tabela3141334557931531892019[[#This Row],[Custo Projetado]]-Tabela3141334557931531892019[[#This Row],[Custo Real]]</f>
        <v>0</v>
      </c>
      <c r="E32" s="32"/>
      <c r="F32" s="20" t="s">
        <v>34</v>
      </c>
      <c r="G32" s="16"/>
      <c r="H32" s="16"/>
      <c r="I32" s="17">
        <f>Tabela9140324456921521882008[[#This Row],[Custo Projetado]]-Tabela9140324456921521882008[[#This Row],[Custo Real]]</f>
        <v>0</v>
      </c>
    </row>
    <row r="33" spans="1:9" x14ac:dyDescent="0.2">
      <c r="A33" s="26" t="s">
        <v>68</v>
      </c>
      <c r="B33" s="27">
        <f>SUBTOTAL(109,Tabela3141334557931531892019[Custo Projetado])</f>
        <v>371</v>
      </c>
      <c r="C33" s="27">
        <f>SUBTOTAL(109,Tabela3141334557931531892019[Custo Real])</f>
        <v>0</v>
      </c>
      <c r="D33" s="28">
        <f>SUBTOTAL(109,Tabela3141334557931531892019[Diferença])</f>
        <v>371</v>
      </c>
      <c r="E33" s="32"/>
      <c r="F33" s="20" t="s">
        <v>35</v>
      </c>
      <c r="G33" s="16"/>
      <c r="H33" s="16"/>
      <c r="I33" s="17">
        <f>Tabela9140324456921521882008[[#This Row],[Custo Projetado]]-Tabela9140324456921521882008[[#This Row],[Custo Real]]</f>
        <v>0</v>
      </c>
    </row>
    <row r="34" spans="1:9" x14ac:dyDescent="0.2">
      <c r="A34" s="46"/>
      <c r="B34" s="46"/>
      <c r="C34" s="46"/>
      <c r="D34" s="46"/>
      <c r="E34" s="32"/>
      <c r="F34" s="20" t="s">
        <v>36</v>
      </c>
      <c r="G34" s="16"/>
      <c r="H34" s="16"/>
      <c r="I34" s="17">
        <f>Tabela9140324456921521882008[[#This Row],[Custo Projetado]]-Tabela9140324456921521882008[[#This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32"/>
      <c r="F35" s="20" t="s">
        <v>12</v>
      </c>
      <c r="G35" s="16"/>
      <c r="H35" s="16"/>
      <c r="I35" s="17">
        <f>Tabela9140324456921521882008[[#This Row],[Custo Projetado]]-Tabela9140324456921521882008[[#This Row],[Custo Real]]</f>
        <v>0</v>
      </c>
    </row>
    <row r="36" spans="1:9" x14ac:dyDescent="0.2">
      <c r="A36" s="20" t="s">
        <v>16</v>
      </c>
      <c r="B36" s="16"/>
      <c r="C36" s="16"/>
      <c r="D36" s="17">
        <f>Tabela4135273951871471831953[[#This Row],[Custo Projetado]]-Tabela4135273951871471831953[[#This Row],[Custo Real]]</f>
        <v>0</v>
      </c>
      <c r="E36" s="32"/>
      <c r="F36" s="13" t="s">
        <v>68</v>
      </c>
      <c r="G36" s="16">
        <f>SUBTOTAL(109,Tabela9140324456921521882008[Custo Projetado])</f>
        <v>0</v>
      </c>
      <c r="H36" s="16">
        <f>SUBTOTAL(109,Tabela9140324456921521882008[Custo Real])</f>
        <v>0</v>
      </c>
      <c r="I36" s="19">
        <f>SUBTOTAL(109,Tabela9140324456921521882008[Diferença])</f>
        <v>0</v>
      </c>
    </row>
    <row r="37" spans="1:9" x14ac:dyDescent="0.2">
      <c r="A37" s="20" t="s">
        <v>17</v>
      </c>
      <c r="B37" s="16"/>
      <c r="C37" s="16"/>
      <c r="D37" s="17">
        <f>Tabela4135273951871471831953[[#This Row],[Custo Projetado]]-Tabela4135273951871471831953[[#This Row],[Custo Real]]</f>
        <v>0</v>
      </c>
      <c r="E37" s="32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Tabela4135273951871471831953[[#This Row],[Custo Projetado]]-Tabela4135273951871471831953[[#This Row],[Custo Real]]</f>
        <v>0</v>
      </c>
      <c r="E38" s="32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Tabela4135273951871471831953[[#This Row],[Custo Projetado]]-Tabela4135273951871471831953[[#This Row],[Custo Real]]</f>
        <v>0</v>
      </c>
      <c r="E39" s="32"/>
      <c r="F39" s="20" t="s">
        <v>49</v>
      </c>
      <c r="G39" s="16"/>
      <c r="H39" s="16"/>
      <c r="I39" s="17">
        <f>Tabela101433547599515519120311[[#This Row],[Custo Projetado]]-Tabela101433547599515519120311[[#This Row],[Custo Real]]</f>
        <v>0</v>
      </c>
    </row>
    <row r="40" spans="1:9" x14ac:dyDescent="0.2">
      <c r="A40" s="13" t="s">
        <v>68</v>
      </c>
      <c r="B40" s="16">
        <f>SUBTOTAL(109,Tabela4135273951871471831953[Custo Projetado])</f>
        <v>0</v>
      </c>
      <c r="C40" s="16">
        <f>SUBTOTAL(109,Tabela4135273951871471831953[Custo Real])</f>
        <v>0</v>
      </c>
      <c r="D40" s="19">
        <f>SUBTOTAL(109,Tabela4135273951871471831953[Diferença])</f>
        <v>0</v>
      </c>
      <c r="E40" s="32"/>
      <c r="F40" s="20" t="s">
        <v>50</v>
      </c>
      <c r="G40" s="16"/>
      <c r="H40" s="16"/>
      <c r="I40" s="17">
        <f>Tabela101433547599515519120311[[#This Row],[Custo Projetado]]-Tabela101433547599515519120311[[#This Row],[Custo Real]]</f>
        <v>0</v>
      </c>
    </row>
    <row r="41" spans="1:9" x14ac:dyDescent="0.2">
      <c r="A41" s="46"/>
      <c r="B41" s="46"/>
      <c r="C41" s="46"/>
      <c r="D41" s="46"/>
      <c r="E41" s="32"/>
      <c r="F41" s="20" t="s">
        <v>12</v>
      </c>
      <c r="G41" s="16"/>
      <c r="H41" s="16"/>
      <c r="I41" s="17">
        <f>Tabela101433547599515519120311[[#This Row],[Custo Projetado]]-Tabela101433547599515519120311[[#This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32"/>
      <c r="F42" s="13" t="s">
        <v>68</v>
      </c>
      <c r="G42" s="16">
        <f>SUBTOTAL(109,Tabela101433547599515519120311[Custo Projetado])</f>
        <v>0</v>
      </c>
      <c r="H42" s="16">
        <f>SUBTOTAL(109,Tabela101433547599515519120311[Custo Real])</f>
        <v>0</v>
      </c>
      <c r="I42" s="19">
        <f>SUBTOTAL(109,Tabela101433547599515519120311[Diferença])</f>
        <v>0</v>
      </c>
    </row>
    <row r="43" spans="1:9" x14ac:dyDescent="0.2">
      <c r="A43" s="20" t="s">
        <v>19</v>
      </c>
      <c r="B43" s="16"/>
      <c r="C43" s="16"/>
      <c r="D43" s="17">
        <f>Tabela5139314355911511871997[[#This Row],[Custo Projetado]]-Tabela5139314355911511871997[[#This Row],[Custo Real]]</f>
        <v>0</v>
      </c>
      <c r="E43" s="32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Tabela5139314355911511871997[[#This Row],[Custo Projetado]]-Tabela5139314355911511871997[[#This Row],[Custo Real]]</f>
        <v>400</v>
      </c>
      <c r="E44" s="32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Tabela5139314355911511871997[[#This Row],[Custo Projetado]]-Tabela5139314355911511871997[[#This Row],[Custo Real]]</f>
        <v>0</v>
      </c>
      <c r="E45" s="32"/>
      <c r="F45" s="20" t="s">
        <v>73</v>
      </c>
      <c r="G45" s="16"/>
      <c r="H45" s="16"/>
      <c r="I45" s="17">
        <f>Tabela11138304254901501861986[[#This Row],[Custo Projetado]]-Tabela11138304254901501861986[[#This Row],[Custo Real]]</f>
        <v>0</v>
      </c>
    </row>
    <row r="46" spans="1:9" x14ac:dyDescent="0.2">
      <c r="A46" s="13" t="s">
        <v>68</v>
      </c>
      <c r="B46" s="16">
        <f>SUBTOTAL(109,Tabela5139314355911511871997[Custo Projetado])</f>
        <v>400</v>
      </c>
      <c r="C46" s="16">
        <f>SUBTOTAL(109,Tabela5139314355911511871997[Custo Real])</f>
        <v>0</v>
      </c>
      <c r="D46" s="19">
        <f>SUBTOTAL(109,Tabela5139314355911511871997[Diferença])</f>
        <v>400</v>
      </c>
      <c r="E46" s="32"/>
      <c r="F46" s="20" t="s">
        <v>74</v>
      </c>
      <c r="G46" s="16"/>
      <c r="H46" s="16"/>
      <c r="I46" s="17">
        <f>Tabela11138304254901501861986[[#This Row],[Custo Projetado]]-Tabela11138304254901501861986[[#This Row],[Custo Real]]</f>
        <v>0</v>
      </c>
    </row>
    <row r="47" spans="1:9" x14ac:dyDescent="0.2">
      <c r="A47" s="46"/>
      <c r="B47" s="46"/>
      <c r="C47" s="46"/>
      <c r="D47" s="46"/>
      <c r="E47" s="32"/>
      <c r="F47" s="20" t="s">
        <v>43</v>
      </c>
      <c r="G47" s="16"/>
      <c r="H47" s="16"/>
      <c r="I47" s="17">
        <f>Tabela11138304254901501861986[[#This Row],[Custo Projetado]]-Tabela11138304254901501861986[[#This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32"/>
      <c r="F48" s="13" t="s">
        <v>68</v>
      </c>
      <c r="G48" s="16">
        <f>SUBTOTAL(109,Tabela11138304254901501861986[Custo Projetado])</f>
        <v>0</v>
      </c>
      <c r="H48" s="16">
        <f>SUBTOTAL(109,Tabela11138304254901501861986[Custo Real])</f>
        <v>0</v>
      </c>
      <c r="I48" s="19">
        <f>SUBTOTAL(109,Tabela11138304254901501861986[Diferença])</f>
        <v>0</v>
      </c>
    </row>
    <row r="49" spans="1:9" x14ac:dyDescent="0.2">
      <c r="A49" s="20" t="s">
        <v>20</v>
      </c>
      <c r="B49" s="16"/>
      <c r="C49" s="16"/>
      <c r="D49" s="17">
        <f>Tabela6137294153891491851975[[#This Row],[Custo Projetado]]-Tabela6137294153891491851975[[#This Row],[Custo Real]]</f>
        <v>0</v>
      </c>
      <c r="E49" s="32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Tabela6137294153891491851975[[#This Row],[Custo Projetado]]-Tabela6137294153891491851975[[#This Row],[Custo Real]]</f>
        <v>0</v>
      </c>
      <c r="E50" s="32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Tabela6137294153891491851975[[#This Row],[Custo Projetado]]-Tabela6137294153891491851975[[#This Row],[Custo Real]]</f>
        <v>0</v>
      </c>
      <c r="E51" s="32"/>
      <c r="F51" s="20" t="s">
        <v>37</v>
      </c>
      <c r="G51" s="16"/>
      <c r="H51" s="16"/>
      <c r="I51" s="17">
        <f>Tabela12136284052881481841964[[#This Row],[Custo Projetado]]-Tabela12136284052881481841964[[#This Row],[Custo Real]]</f>
        <v>0</v>
      </c>
    </row>
    <row r="52" spans="1:9" x14ac:dyDescent="0.2">
      <c r="A52" s="20" t="s">
        <v>21</v>
      </c>
      <c r="B52" s="16"/>
      <c r="C52" s="16"/>
      <c r="D52" s="17">
        <f>Tabela6137294153891491851975[[#This Row],[Custo Projetado]]-Tabela6137294153891491851975[[#This Row],[Custo Real]]</f>
        <v>0</v>
      </c>
      <c r="E52" s="32"/>
      <c r="F52" s="20" t="s">
        <v>38</v>
      </c>
      <c r="G52" s="16"/>
      <c r="H52" s="16"/>
      <c r="I52" s="17">
        <f>Tabela12136284052881481841964[[#This Row],[Custo Projetado]]-Tabela12136284052881481841964[[#This Row],[Custo Real]]</f>
        <v>0</v>
      </c>
    </row>
    <row r="53" spans="1:9" x14ac:dyDescent="0.2">
      <c r="A53" s="20" t="s">
        <v>12</v>
      </c>
      <c r="B53" s="16"/>
      <c r="C53" s="16"/>
      <c r="D53" s="17">
        <f>Tabela6137294153891491851975[[#This Row],[Custo Projetado]]-Tabela6137294153891491851975[[#This Row],[Custo Real]]</f>
        <v>0</v>
      </c>
      <c r="E53" s="32"/>
      <c r="F53" s="20" t="s">
        <v>44</v>
      </c>
      <c r="G53" s="16"/>
      <c r="H53" s="16"/>
      <c r="I53" s="17">
        <f>Tabela12136284052881481841964[[#This Row],[Custo Projetado]]-Tabela12136284052881481841964[[#This Row],[Custo Real]]</f>
        <v>0</v>
      </c>
    </row>
    <row r="54" spans="1:9" x14ac:dyDescent="0.2">
      <c r="A54" s="13" t="s">
        <v>68</v>
      </c>
      <c r="B54" s="16">
        <f>SUBTOTAL(109,Tabela6137294153891491851975[Custo Projetado])</f>
        <v>0</v>
      </c>
      <c r="C54" s="16">
        <f>SUBTOTAL(109,Tabela6137294153891491851975[Custo Real])</f>
        <v>0</v>
      </c>
      <c r="D54" s="19">
        <f>SUBTOTAL(109,Tabela6137294153891491851975[Diferença])</f>
        <v>0</v>
      </c>
      <c r="E54" s="32"/>
      <c r="F54" s="20" t="s">
        <v>12</v>
      </c>
      <c r="G54" s="16"/>
      <c r="H54" s="16"/>
      <c r="I54" s="17">
        <f>Tabela12136284052881481841964[[#This Row],[Custo Projetado]]-Tabela12136284052881481841964[[#This Row],[Custo Real]]</f>
        <v>0</v>
      </c>
    </row>
    <row r="55" spans="1:9" x14ac:dyDescent="0.2">
      <c r="A55" s="46"/>
      <c r="B55" s="46"/>
      <c r="C55" s="46"/>
      <c r="D55" s="46"/>
      <c r="E55" s="32"/>
      <c r="F55" s="13" t="s">
        <v>68</v>
      </c>
      <c r="G55" s="16">
        <f>SUBTOTAL(109,Tabela12136284052881481841964[Custo Projetado])</f>
        <v>0</v>
      </c>
      <c r="H55" s="16">
        <f>SUBTOTAL(109,Tabela12136284052881481841964[Custo Real])</f>
        <v>0</v>
      </c>
      <c r="I55" s="19">
        <f>SUBTOTAL(109,Tabela12136284052881481841964[Diferença])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Tabela71443648609615619220412[[#This Row],[Custo Projetado]]-Tabela71443648609615619220412[[#This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6604</v>
      </c>
    </row>
    <row r="58" spans="1:9" x14ac:dyDescent="0.2">
      <c r="A58" s="20" t="s">
        <v>25</v>
      </c>
      <c r="B58" s="16">
        <v>100</v>
      </c>
      <c r="C58" s="16"/>
      <c r="D58" s="17">
        <f>Tabela71443648609615619220412[[#This Row],[Custo Projetado]]-Tabela71443648609615619220412[[#This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Tabela71443648609615619220412[[#This Row],[Custo Projetado]]-Tabela71443648609615619220412[[#This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Tabela71443648609615619220412[[#This Row],[Custo Projetado]]-Tabela71443648609615619220412[[#This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Tabela71443648609615619220412[[#This Row],[Custo Projetado]]-Tabela71443648609615619220412[[#This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6604</v>
      </c>
    </row>
    <row r="62" spans="1:9" x14ac:dyDescent="0.2">
      <c r="A62" s="20" t="s">
        <v>81</v>
      </c>
      <c r="B62" s="16">
        <v>470</v>
      </c>
      <c r="C62" s="16"/>
      <c r="D62" s="17">
        <f>Tabela71443648609615619220412[[#This Row],[Custo Projetado]]-Tabela71443648609615619220412[[#This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Tabela71443648609615619220412[[#This Row],[Custo Projetado]]-Tabela71443648609615619220412[[#This Row],[Custo Real]]</f>
        <v>0</v>
      </c>
    </row>
    <row r="64" spans="1:9" x14ac:dyDescent="0.2">
      <c r="A64" s="13" t="s">
        <v>68</v>
      </c>
      <c r="B64" s="16">
        <f>SUBTOTAL(109,Tabela71443648609615619220412[Custo Projetado])</f>
        <v>720</v>
      </c>
      <c r="C64" s="16">
        <f>SUBTOTAL(109,Tabela71443648609615619220412[Custo Real])</f>
        <v>0</v>
      </c>
      <c r="D64" s="19">
        <f>SUBTOTAL(109,Tabela71443648609615619220412[Diferença])</f>
        <v>720</v>
      </c>
    </row>
  </sheetData>
  <mergeCells count="33">
    <mergeCell ref="F59:H60"/>
    <mergeCell ref="I59:I60"/>
    <mergeCell ref="F61:H62"/>
    <mergeCell ref="I61:I62"/>
    <mergeCell ref="F43:I43"/>
    <mergeCell ref="A47:D47"/>
    <mergeCell ref="F49:I49"/>
    <mergeCell ref="A55:D55"/>
    <mergeCell ref="F56:I56"/>
    <mergeCell ref="F57:H58"/>
    <mergeCell ref="I57:I58"/>
    <mergeCell ref="F21:I21"/>
    <mergeCell ref="A22:D22"/>
    <mergeCell ref="F30:I30"/>
    <mergeCell ref="A34:D34"/>
    <mergeCell ref="F37:I37"/>
    <mergeCell ref="A41:D41"/>
    <mergeCell ref="A6:A8"/>
    <mergeCell ref="B6:C6"/>
    <mergeCell ref="B7:C7"/>
    <mergeCell ref="F7:H8"/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A36F-BCE7-48CD-B3DB-42F5604B12B9}">
  <dimension ref="A1:I64"/>
  <sheetViews>
    <sheetView topLeftCell="A31" workbookViewId="0">
      <selection activeCell="G26" sqref="G26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1417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30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-1417</v>
      </c>
    </row>
    <row r="8" spans="1:9" x14ac:dyDescent="0.2">
      <c r="A8" s="39"/>
      <c r="B8" s="44" t="s">
        <v>42</v>
      </c>
      <c r="C8" s="45"/>
      <c r="D8" s="30">
        <f>SUM(D6:D7)</f>
        <v>0</v>
      </c>
      <c r="E8" s="2"/>
      <c r="F8" s="42"/>
      <c r="G8" s="42"/>
      <c r="H8" s="42"/>
      <c r="I8" s="43"/>
    </row>
    <row r="9" spans="1:9" x14ac:dyDescent="0.2">
      <c r="A9" s="31"/>
      <c r="B9" s="31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Tabela113426[[#This Row],[Custo Projetado]]-Tabela113426[[#This Row],[Custo Real]]</f>
        <v>1900</v>
      </c>
      <c r="E11" s="29"/>
      <c r="F11" s="20" t="s">
        <v>28</v>
      </c>
      <c r="G11" s="16">
        <v>0</v>
      </c>
      <c r="H11" s="16"/>
      <c r="I11" s="17">
        <f>Tabela214537[[#This Row],[Custo Projetado]]-Tabela214537[[#This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Tabela113426[[#This Row],[Custo Projetado]]-Tabela113426[[#This Row],[Custo Real]]</f>
        <v>100</v>
      </c>
      <c r="E12" s="29"/>
      <c r="F12" s="20" t="s">
        <v>29</v>
      </c>
      <c r="G12" s="16"/>
      <c r="H12" s="16"/>
      <c r="I12" s="17">
        <f>Tabela214537[[#This Row],[Custo Projetado]]-Tabela214537[[#This Row],[Custo Real]]</f>
        <v>0</v>
      </c>
    </row>
    <row r="13" spans="1:9" x14ac:dyDescent="0.2">
      <c r="A13" s="20" t="s">
        <v>46</v>
      </c>
      <c r="B13" s="16"/>
      <c r="C13" s="16"/>
      <c r="D13" s="17">
        <f>Tabela113426[[#This Row],[Custo Projetado]]-Tabela113426[[#This Row],[Custo Real]]</f>
        <v>0</v>
      </c>
      <c r="E13" s="29"/>
      <c r="F13" s="20" t="s">
        <v>30</v>
      </c>
      <c r="G13" s="16"/>
      <c r="H13" s="16"/>
      <c r="I13" s="17">
        <f>Tabela214537[[#This Row],[Custo Projetado]]-Tabela214537[[#This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Tabela113426[[#This Row],[Custo Projetado]]-Tabela113426[[#This Row],[Custo Real]]</f>
        <v>400</v>
      </c>
      <c r="E14" s="29"/>
      <c r="F14" s="20" t="s">
        <v>31</v>
      </c>
      <c r="G14" s="16"/>
      <c r="H14" s="16"/>
      <c r="I14" s="17">
        <f>Tabela214537[[#This Row],[Custo Projetado]]-Tabela214537[[#This Row],[Custo Real]]</f>
        <v>0</v>
      </c>
    </row>
    <row r="15" spans="1:9" x14ac:dyDescent="0.2">
      <c r="A15" s="20" t="s">
        <v>7</v>
      </c>
      <c r="B15" s="16"/>
      <c r="C15" s="16"/>
      <c r="D15" s="17">
        <f>Tabela113426[[#This Row],[Custo Projetado]]-Tabela113426[[#This Row],[Custo Real]]</f>
        <v>0</v>
      </c>
      <c r="E15" s="29"/>
      <c r="F15" s="20" t="s">
        <v>47</v>
      </c>
      <c r="G15" s="16">
        <v>150</v>
      </c>
      <c r="H15" s="16"/>
      <c r="I15" s="17">
        <f>Tabela214537[[#This Row],[Custo Projetado]]-Tabela214537[[#This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Tabela113426[[#This Row],[Custo Projetado]]-Tabela113426[[#This Row],[Custo Real]]</f>
        <v>0</v>
      </c>
      <c r="E16" s="29"/>
      <c r="F16" s="20" t="s">
        <v>32</v>
      </c>
      <c r="G16" s="16"/>
      <c r="H16" s="16"/>
      <c r="I16" s="17">
        <f>Tabela214537[[#This Row],[Custo Projetado]]-Tabela214537[[#This Row],[Custo Real]]</f>
        <v>0</v>
      </c>
    </row>
    <row r="17" spans="1:9" x14ac:dyDescent="0.2">
      <c r="A17" s="20" t="s">
        <v>9</v>
      </c>
      <c r="B17" s="16"/>
      <c r="C17" s="16"/>
      <c r="D17" s="17">
        <f>Tabela113426[[#This Row],[Custo Projetado]]-Tabela113426[[#This Row],[Custo Real]]</f>
        <v>0</v>
      </c>
      <c r="E17" s="29"/>
      <c r="F17" s="20" t="s">
        <v>12</v>
      </c>
      <c r="G17" s="16"/>
      <c r="H17" s="16"/>
      <c r="I17" s="17">
        <f>Tabela214537[[#This Row],[Custo Projetado]]-Tabela214537[[#This Row],[Custo Real]]</f>
        <v>0</v>
      </c>
    </row>
    <row r="18" spans="1:9" x14ac:dyDescent="0.2">
      <c r="A18" s="20" t="s">
        <v>10</v>
      </c>
      <c r="B18" s="16"/>
      <c r="C18" s="16"/>
      <c r="D18" s="17">
        <f>Tabela113426[[#This Row],[Custo Projetado]]-Tabela113426[[#This Row],[Custo Real]]</f>
        <v>0</v>
      </c>
      <c r="E18" s="29"/>
      <c r="F18" s="20" t="s">
        <v>12</v>
      </c>
      <c r="G18" s="16"/>
      <c r="H18" s="16"/>
      <c r="I18" s="17">
        <f>Tabela214537[[#This Row],[Custo Projetado]]-Tabela214537[[#This Row],[Custo Real]]</f>
        <v>0</v>
      </c>
    </row>
    <row r="19" spans="1:9" x14ac:dyDescent="0.2">
      <c r="A19" s="20" t="s">
        <v>11</v>
      </c>
      <c r="B19" s="16"/>
      <c r="C19" s="16"/>
      <c r="D19" s="17">
        <f>Tabela113426[[#This Row],[Custo Projetado]]-Tabela113426[[#This Row],[Custo Real]]</f>
        <v>0</v>
      </c>
      <c r="E19" s="29"/>
      <c r="F19" s="20" t="s">
        <v>12</v>
      </c>
      <c r="G19" s="16"/>
      <c r="H19" s="16"/>
      <c r="I19" s="17">
        <f>Tabela214537[[#This Row],[Custo Projetado]]-Tabela214537[[#This Row],[Custo Real]]</f>
        <v>0</v>
      </c>
    </row>
    <row r="20" spans="1:9" x14ac:dyDescent="0.2">
      <c r="A20" s="20" t="s">
        <v>12</v>
      </c>
      <c r="B20" s="16"/>
      <c r="C20" s="16"/>
      <c r="D20" s="17">
        <f>Tabela113426[[#This Row],[Custo Projetado]]-Tabela113426[[#This Row],[Custo Real]]</f>
        <v>0</v>
      </c>
      <c r="E20" s="29"/>
      <c r="F20" s="13" t="s">
        <v>68</v>
      </c>
      <c r="G20" s="18">
        <f>SUBTOTAL(109,Tabela214537[Custo Projetado])</f>
        <v>150</v>
      </c>
      <c r="H20" s="16">
        <f>SUBTOTAL(109,Tabela214537[Custo Real])</f>
        <v>0</v>
      </c>
      <c r="I20" s="19">
        <f>SUBTOTAL(109,Tabela214537[Diferença])</f>
        <v>150</v>
      </c>
    </row>
    <row r="21" spans="1:9" x14ac:dyDescent="0.2">
      <c r="A21" s="13" t="s">
        <v>68</v>
      </c>
      <c r="B21" s="16">
        <f>SUBTOTAL(109,Tabela113426[Custo Projetado])</f>
        <v>2400</v>
      </c>
      <c r="C21" s="16">
        <f>SUBTOTAL(109,Tabela113426[Custo Real])</f>
        <v>0</v>
      </c>
      <c r="D21" s="19">
        <f>SUBTOTAL(109,Tabela113426[Diferença])</f>
        <v>2400</v>
      </c>
      <c r="E21" s="29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29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29"/>
      <c r="F23" s="20" t="s">
        <v>79</v>
      </c>
      <c r="G23" s="16">
        <v>500</v>
      </c>
      <c r="H23" s="16"/>
      <c r="I23" s="17">
        <f>Tabela814234[[#This Row],[Custo Projetado]]-Tabela814234[[#This Row],[Custo Real]]</f>
        <v>500</v>
      </c>
    </row>
    <row r="24" spans="1:9" x14ac:dyDescent="0.2">
      <c r="A24" s="20" t="s">
        <v>72</v>
      </c>
      <c r="B24" s="16"/>
      <c r="C24" s="16"/>
      <c r="D24" s="17">
        <f>Tabela314133[[#This Row],[Custo Projetado]]-Tabela314133[[#This Row],[Custo Real]]</f>
        <v>0</v>
      </c>
      <c r="E24" s="29"/>
      <c r="F24" s="20" t="s">
        <v>39</v>
      </c>
      <c r="G24" s="16"/>
      <c r="H24" s="16"/>
      <c r="I24" s="17">
        <f>Tabela814234[[#This Row],[Custo Projetado]]-Tabela814234[[#This Row],[Custo Real]]</f>
        <v>0</v>
      </c>
    </row>
    <row r="25" spans="1:9" x14ac:dyDescent="0.2">
      <c r="A25" s="20" t="s">
        <v>45</v>
      </c>
      <c r="B25" s="16"/>
      <c r="C25" s="16"/>
      <c r="D25" s="17">
        <f>Tabela314133[[#This Row],[Custo Projetado]]-Tabela314133[[#This Row],[Custo Real]]</f>
        <v>0</v>
      </c>
      <c r="E25" s="29"/>
      <c r="F25" s="20" t="s">
        <v>48</v>
      </c>
      <c r="G25" s="16">
        <v>1992</v>
      </c>
      <c r="H25" s="16"/>
      <c r="I25" s="17">
        <f>Tabela814234[[#This Row],[Custo Projetado]]-Tabela814234[[#This Row],[Custo Real]]</f>
        <v>1992</v>
      </c>
    </row>
    <row r="26" spans="1:9" x14ac:dyDescent="0.2">
      <c r="A26" s="20" t="s">
        <v>13</v>
      </c>
      <c r="B26" s="16">
        <v>85</v>
      </c>
      <c r="C26" s="16"/>
      <c r="D26" s="17">
        <f>Tabela314133[[#This Row],[Custo Projetado]]-Tabela314133[[#This Row],[Custo Real]]</f>
        <v>85</v>
      </c>
      <c r="E26" s="29"/>
      <c r="F26" s="20" t="s">
        <v>80</v>
      </c>
      <c r="G26" s="16">
        <v>650</v>
      </c>
      <c r="H26" s="16"/>
      <c r="I26" s="17">
        <f>Tabela814234[[#This Row],[Custo Projetado]]-Tabela814234[[#This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Tabela314133[[#This Row],[Custo Projetado]]-Tabela314133[[#This Row],[Custo Real]]</f>
        <v>86</v>
      </c>
      <c r="E27" s="29"/>
      <c r="F27" s="20" t="s">
        <v>48</v>
      </c>
      <c r="G27" s="16"/>
      <c r="H27" s="16"/>
      <c r="I27" s="17">
        <f>Tabela814234[[#This Row],[Custo Projetado]]-Tabela814234[[#This Row],[Custo Real]]</f>
        <v>0</v>
      </c>
    </row>
    <row r="28" spans="1:9" x14ac:dyDescent="0.2">
      <c r="A28" s="20" t="s">
        <v>75</v>
      </c>
      <c r="B28" s="24"/>
      <c r="C28" s="24"/>
      <c r="D28" s="25">
        <f>Tabela314133[[#This Row],[Custo Projetado]]-Tabela314133[[#This Row],[Custo Real]]</f>
        <v>0</v>
      </c>
      <c r="E28" s="29"/>
      <c r="F28" s="20" t="s">
        <v>12</v>
      </c>
      <c r="G28" s="16"/>
      <c r="H28" s="16"/>
      <c r="I28" s="17">
        <f>Tabela814234[[#This Row],[Custo Projetado]]-Tabela814234[[#This Row],[Custo Real]]</f>
        <v>0</v>
      </c>
    </row>
    <row r="29" spans="1:9" x14ac:dyDescent="0.2">
      <c r="A29" s="20" t="s">
        <v>14</v>
      </c>
      <c r="B29" s="16"/>
      <c r="C29" s="16"/>
      <c r="D29" s="17">
        <f>Tabela314133[[#This Row],[Custo Projetado]]-Tabela314133[[#This Row],[Custo Real]]</f>
        <v>0</v>
      </c>
      <c r="E29" s="29"/>
      <c r="F29" s="13" t="s">
        <v>68</v>
      </c>
      <c r="G29" s="16">
        <f>SUBTOTAL(109,Tabela814234[Custo Projetado])</f>
        <v>3142</v>
      </c>
      <c r="H29" s="16">
        <f>SUBTOTAL(109,Tabela814234[Custo Real])</f>
        <v>0</v>
      </c>
      <c r="I29" s="19">
        <f>SUBTOTAL(109,Tabela814234[Diferença])</f>
        <v>3142</v>
      </c>
    </row>
    <row r="30" spans="1:9" x14ac:dyDescent="0.2">
      <c r="A30" s="20" t="s">
        <v>15</v>
      </c>
      <c r="B30" s="16"/>
      <c r="C30" s="16"/>
      <c r="D30" s="17">
        <f>Tabela314133[[#This Row],[Custo Projetado]]-Tabela314133[[#This Row],[Custo Real]]</f>
        <v>0</v>
      </c>
      <c r="E30" s="29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Tabela314133[[#This Row],[Custo Projetado]]-Tabela314133[[#This Row],[Custo Real]]</f>
        <v>200</v>
      </c>
      <c r="E31" s="29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Tabela314133[[#This Row],[Custo Projetado]]-Tabela314133[[#This Row],[Custo Real]]</f>
        <v>0</v>
      </c>
      <c r="E32" s="29"/>
      <c r="F32" s="20" t="s">
        <v>34</v>
      </c>
      <c r="G32" s="16"/>
      <c r="H32" s="16"/>
      <c r="I32" s="17">
        <f>Tabela914032[[#This Row],[Custo Projetado]]-Tabela914032[[#This Row],[Custo Real]]</f>
        <v>0</v>
      </c>
    </row>
    <row r="33" spans="1:9" x14ac:dyDescent="0.2">
      <c r="A33" s="26" t="s">
        <v>68</v>
      </c>
      <c r="B33" s="27">
        <f>SUBTOTAL(109,Tabela314133[Custo Projetado])</f>
        <v>371</v>
      </c>
      <c r="C33" s="27">
        <f>SUBTOTAL(109,Tabela314133[Custo Real])</f>
        <v>0</v>
      </c>
      <c r="D33" s="28">
        <f>SUBTOTAL(109,Tabela314133[Diferença])</f>
        <v>371</v>
      </c>
      <c r="E33" s="29"/>
      <c r="F33" s="20" t="s">
        <v>35</v>
      </c>
      <c r="G33" s="16"/>
      <c r="H33" s="16"/>
      <c r="I33" s="17">
        <f>Tabela914032[[#This Row],[Custo Projetado]]-Tabela914032[[#This Row],[Custo Real]]</f>
        <v>0</v>
      </c>
    </row>
    <row r="34" spans="1:9" x14ac:dyDescent="0.2">
      <c r="A34" s="46"/>
      <c r="B34" s="46"/>
      <c r="C34" s="46"/>
      <c r="D34" s="46"/>
      <c r="E34" s="29"/>
      <c r="F34" s="20" t="s">
        <v>36</v>
      </c>
      <c r="G34" s="16"/>
      <c r="H34" s="16"/>
      <c r="I34" s="17">
        <f>Tabela914032[[#This Row],[Custo Projetado]]-Tabela914032[[#This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29"/>
      <c r="F35" s="20" t="s">
        <v>12</v>
      </c>
      <c r="G35" s="16"/>
      <c r="H35" s="16"/>
      <c r="I35" s="17">
        <f>Tabela914032[[#This Row],[Custo Projetado]]-Tabela914032[[#This Row],[Custo Real]]</f>
        <v>0</v>
      </c>
    </row>
    <row r="36" spans="1:9" x14ac:dyDescent="0.2">
      <c r="A36" s="20" t="s">
        <v>16</v>
      </c>
      <c r="B36" s="16"/>
      <c r="C36" s="16"/>
      <c r="D36" s="17">
        <f>Tabela413527[[#This Row],[Custo Projetado]]-Tabela413527[[#This Row],[Custo Real]]</f>
        <v>0</v>
      </c>
      <c r="E36" s="29"/>
      <c r="F36" s="13" t="s">
        <v>68</v>
      </c>
      <c r="G36" s="16">
        <f>SUBTOTAL(109,Tabela914032[Custo Projetado])</f>
        <v>0</v>
      </c>
      <c r="H36" s="16">
        <f>SUBTOTAL(109,Tabela914032[Custo Real])</f>
        <v>0</v>
      </c>
      <c r="I36" s="19">
        <f>SUBTOTAL(109,Tabela914032[Diferença])</f>
        <v>0</v>
      </c>
    </row>
    <row r="37" spans="1:9" x14ac:dyDescent="0.2">
      <c r="A37" s="20" t="s">
        <v>17</v>
      </c>
      <c r="B37" s="16"/>
      <c r="C37" s="16"/>
      <c r="D37" s="17">
        <f>Tabela413527[[#This Row],[Custo Projetado]]-Tabela413527[[#This Row],[Custo Real]]</f>
        <v>0</v>
      </c>
      <c r="E37" s="29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Tabela413527[[#This Row],[Custo Projetado]]-Tabela413527[[#This Row],[Custo Real]]</f>
        <v>0</v>
      </c>
      <c r="E38" s="29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Tabela413527[[#This Row],[Custo Projetado]]-Tabela413527[[#This Row],[Custo Real]]</f>
        <v>0</v>
      </c>
      <c r="E39" s="29"/>
      <c r="F39" s="20" t="s">
        <v>49</v>
      </c>
      <c r="G39" s="16"/>
      <c r="H39" s="16"/>
      <c r="I39" s="17">
        <f>Tabela1014335[[#This Row],[Custo Projetado]]-Tabela1014335[[#This Row],[Custo Real]]</f>
        <v>0</v>
      </c>
    </row>
    <row r="40" spans="1:9" x14ac:dyDescent="0.2">
      <c r="A40" s="13" t="s">
        <v>68</v>
      </c>
      <c r="B40" s="16">
        <f>SUBTOTAL(109,Tabela413527[Custo Projetado])</f>
        <v>0</v>
      </c>
      <c r="C40" s="16">
        <f>SUBTOTAL(109,Tabela413527[Custo Real])</f>
        <v>0</v>
      </c>
      <c r="D40" s="19">
        <f>SUBTOTAL(109,Tabela413527[Diferença])</f>
        <v>0</v>
      </c>
      <c r="E40" s="29"/>
      <c r="F40" s="20" t="s">
        <v>50</v>
      </c>
      <c r="G40" s="16"/>
      <c r="H40" s="16"/>
      <c r="I40" s="17">
        <f>Tabela1014335[[#This Row],[Custo Projetado]]-Tabela1014335[[#This Row],[Custo Real]]</f>
        <v>0</v>
      </c>
    </row>
    <row r="41" spans="1:9" x14ac:dyDescent="0.2">
      <c r="A41" s="46"/>
      <c r="B41" s="46"/>
      <c r="C41" s="46"/>
      <c r="D41" s="46"/>
      <c r="E41" s="29"/>
      <c r="F41" s="20" t="s">
        <v>12</v>
      </c>
      <c r="G41" s="16"/>
      <c r="H41" s="16"/>
      <c r="I41" s="17">
        <f>Tabela1014335[[#This Row],[Custo Projetado]]-Tabela1014335[[#This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29"/>
      <c r="F42" s="13" t="s">
        <v>68</v>
      </c>
      <c r="G42" s="16">
        <f>SUBTOTAL(109,Tabela1014335[Custo Projetado])</f>
        <v>0</v>
      </c>
      <c r="H42" s="16">
        <f>SUBTOTAL(109,Tabela1014335[Custo Real])</f>
        <v>0</v>
      </c>
      <c r="I42" s="19">
        <f>SUBTOTAL(109,Tabela1014335[Diferença])</f>
        <v>0</v>
      </c>
    </row>
    <row r="43" spans="1:9" x14ac:dyDescent="0.2">
      <c r="A43" s="20" t="s">
        <v>19</v>
      </c>
      <c r="B43" s="16"/>
      <c r="C43" s="16"/>
      <c r="D43" s="17">
        <f>Tabela513931[[#This Row],[Custo Projetado]]-Tabela513931[[#This Row],[Custo Real]]</f>
        <v>0</v>
      </c>
      <c r="E43" s="29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Tabela513931[[#This Row],[Custo Projetado]]-Tabela513931[[#This Row],[Custo Real]]</f>
        <v>400</v>
      </c>
      <c r="E44" s="29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Tabela513931[[#This Row],[Custo Projetado]]-Tabela513931[[#This Row],[Custo Real]]</f>
        <v>0</v>
      </c>
      <c r="E45" s="29"/>
      <c r="F45" s="20" t="s">
        <v>73</v>
      </c>
      <c r="G45" s="16"/>
      <c r="H45" s="16"/>
      <c r="I45" s="17">
        <f>Tabela1113830[[#This Row],[Custo Projetado]]-Tabela1113830[[#This Row],[Custo Real]]</f>
        <v>0</v>
      </c>
    </row>
    <row r="46" spans="1:9" x14ac:dyDescent="0.2">
      <c r="A46" s="13" t="s">
        <v>68</v>
      </c>
      <c r="B46" s="16">
        <f>SUBTOTAL(109,Tabela513931[Custo Projetado])</f>
        <v>400</v>
      </c>
      <c r="C46" s="16">
        <f>SUBTOTAL(109,Tabela513931[Custo Real])</f>
        <v>0</v>
      </c>
      <c r="D46" s="19">
        <f>SUBTOTAL(109,Tabela513931[Diferença])</f>
        <v>400</v>
      </c>
      <c r="E46" s="29"/>
      <c r="F46" s="20" t="s">
        <v>74</v>
      </c>
      <c r="G46" s="16"/>
      <c r="H46" s="16"/>
      <c r="I46" s="17">
        <f>Tabela1113830[[#This Row],[Custo Projetado]]-Tabela1113830[[#This Row],[Custo Real]]</f>
        <v>0</v>
      </c>
    </row>
    <row r="47" spans="1:9" x14ac:dyDescent="0.2">
      <c r="A47" s="46"/>
      <c r="B47" s="46"/>
      <c r="C47" s="46"/>
      <c r="D47" s="46"/>
      <c r="E47" s="29"/>
      <c r="F47" s="20" t="s">
        <v>43</v>
      </c>
      <c r="G47" s="16"/>
      <c r="H47" s="16"/>
      <c r="I47" s="17">
        <f>Tabela1113830[[#This Row],[Custo Projetado]]-Tabela1113830[[#This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29"/>
      <c r="F48" s="13" t="s">
        <v>68</v>
      </c>
      <c r="G48" s="16">
        <f>SUBTOTAL(109,Tabela1113830[Custo Projetado])</f>
        <v>0</v>
      </c>
      <c r="H48" s="16">
        <f>SUBTOTAL(109,Tabela1113830[Custo Real])</f>
        <v>0</v>
      </c>
      <c r="I48" s="19">
        <f>SUBTOTAL(109,Tabela1113830[Diferença])</f>
        <v>0</v>
      </c>
    </row>
    <row r="49" spans="1:9" x14ac:dyDescent="0.2">
      <c r="A49" s="20" t="s">
        <v>20</v>
      </c>
      <c r="B49" s="16"/>
      <c r="C49" s="16"/>
      <c r="D49" s="17">
        <f>Tabela613729[[#This Row],[Custo Projetado]]-Tabela613729[[#This Row],[Custo Real]]</f>
        <v>0</v>
      </c>
      <c r="E49" s="29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Tabela613729[[#This Row],[Custo Projetado]]-Tabela613729[[#This Row],[Custo Real]]</f>
        <v>0</v>
      </c>
      <c r="E50" s="29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Tabela613729[[#This Row],[Custo Projetado]]-Tabela613729[[#This Row],[Custo Real]]</f>
        <v>0</v>
      </c>
      <c r="E51" s="29"/>
      <c r="F51" s="20" t="s">
        <v>37</v>
      </c>
      <c r="G51" s="16"/>
      <c r="H51" s="16"/>
      <c r="I51" s="17">
        <f>Tabela1213628[[#This Row],[Custo Projetado]]-Tabela1213628[[#This Row],[Custo Real]]</f>
        <v>0</v>
      </c>
    </row>
    <row r="52" spans="1:9" x14ac:dyDescent="0.2">
      <c r="A52" s="20" t="s">
        <v>21</v>
      </c>
      <c r="B52" s="16"/>
      <c r="C52" s="16"/>
      <c r="D52" s="17">
        <f>Tabela613729[[#This Row],[Custo Projetado]]-Tabela613729[[#This Row],[Custo Real]]</f>
        <v>0</v>
      </c>
      <c r="E52" s="29"/>
      <c r="F52" s="20" t="s">
        <v>38</v>
      </c>
      <c r="G52" s="16"/>
      <c r="H52" s="16"/>
      <c r="I52" s="17">
        <f>Tabela1213628[[#This Row],[Custo Projetado]]-Tabela1213628[[#This Row],[Custo Real]]</f>
        <v>0</v>
      </c>
    </row>
    <row r="53" spans="1:9" x14ac:dyDescent="0.2">
      <c r="A53" s="20" t="s">
        <v>12</v>
      </c>
      <c r="B53" s="16"/>
      <c r="C53" s="16"/>
      <c r="D53" s="17">
        <f>Tabela613729[[#This Row],[Custo Projetado]]-Tabela613729[[#This Row],[Custo Real]]</f>
        <v>0</v>
      </c>
      <c r="E53" s="29"/>
      <c r="F53" s="20" t="s">
        <v>44</v>
      </c>
      <c r="G53" s="16"/>
      <c r="H53" s="16"/>
      <c r="I53" s="17">
        <f>Tabela1213628[[#This Row],[Custo Projetado]]-Tabela1213628[[#This Row],[Custo Real]]</f>
        <v>0</v>
      </c>
    </row>
    <row r="54" spans="1:9" x14ac:dyDescent="0.2">
      <c r="A54" s="13" t="s">
        <v>68</v>
      </c>
      <c r="B54" s="16">
        <f>SUBTOTAL(109,Tabela613729[Custo Projetado])</f>
        <v>0</v>
      </c>
      <c r="C54" s="16">
        <f>SUBTOTAL(109,Tabela613729[Custo Real])</f>
        <v>0</v>
      </c>
      <c r="D54" s="19">
        <f>SUBTOTAL(109,Tabela613729[Diferença])</f>
        <v>0</v>
      </c>
      <c r="E54" s="29"/>
      <c r="F54" s="20" t="s">
        <v>12</v>
      </c>
      <c r="G54" s="16"/>
      <c r="H54" s="16"/>
      <c r="I54" s="17">
        <f>Tabela1213628[[#This Row],[Custo Projetado]]-Tabela1213628[[#This Row],[Custo Real]]</f>
        <v>0</v>
      </c>
    </row>
    <row r="55" spans="1:9" x14ac:dyDescent="0.2">
      <c r="A55" s="46"/>
      <c r="B55" s="46"/>
      <c r="C55" s="46"/>
      <c r="D55" s="46"/>
      <c r="E55" s="29"/>
      <c r="F55" s="13" t="s">
        <v>68</v>
      </c>
      <c r="G55" s="16">
        <f>SUBTOTAL(109,Tabela1213628[Custo Projetado])</f>
        <v>0</v>
      </c>
      <c r="H55" s="16">
        <f>SUBTOTAL(109,Tabela1213628[Custo Real])</f>
        <v>0</v>
      </c>
      <c r="I55" s="19">
        <f>SUBTOTAL(109,Tabela1213628[Diferença])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Tabela714436[[#This Row],[Custo Projetado]]-Tabela714436[[#This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7183</v>
      </c>
    </row>
    <row r="58" spans="1:9" x14ac:dyDescent="0.2">
      <c r="A58" s="20" t="s">
        <v>25</v>
      </c>
      <c r="B58" s="16">
        <v>100</v>
      </c>
      <c r="C58" s="16"/>
      <c r="D58" s="17">
        <f>Tabela714436[[#This Row],[Custo Projetado]]-Tabela714436[[#This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Tabela714436[[#This Row],[Custo Projetado]]-Tabela714436[[#This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Tabela714436[[#This Row],[Custo Projetado]]-Tabela714436[[#This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Tabela714436[[#This Row],[Custo Projetado]]-Tabela714436[[#This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7183</v>
      </c>
    </row>
    <row r="62" spans="1:9" x14ac:dyDescent="0.2">
      <c r="A62" s="20" t="s">
        <v>81</v>
      </c>
      <c r="B62" s="16">
        <v>470</v>
      </c>
      <c r="C62" s="16"/>
      <c r="D62" s="17">
        <f>Tabela714436[[#This Row],[Custo Projetado]]-Tabela714436[[#This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Tabela714436[[#This Row],[Custo Projetado]]-Tabela714436[[#This Row],[Custo Real]]</f>
        <v>0</v>
      </c>
    </row>
    <row r="64" spans="1:9" x14ac:dyDescent="0.2">
      <c r="A64" s="13" t="s">
        <v>68</v>
      </c>
      <c r="B64" s="16">
        <f>SUBTOTAL(109,Tabela714436[Custo Projetado])</f>
        <v>720</v>
      </c>
      <c r="C64" s="16">
        <f>SUBTOTAL(109,Tabela714436[Custo Real])</f>
        <v>0</v>
      </c>
      <c r="D64" s="19">
        <f>SUBTOTAL(109,Tabela714436[Diferença])</f>
        <v>720</v>
      </c>
    </row>
  </sheetData>
  <mergeCells count="33"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  <mergeCell ref="A41:D41"/>
    <mergeCell ref="A6:A8"/>
    <mergeCell ref="B6:C6"/>
    <mergeCell ref="B7:C7"/>
    <mergeCell ref="F7:H8"/>
    <mergeCell ref="F21:I21"/>
    <mergeCell ref="A22:D22"/>
    <mergeCell ref="F30:I30"/>
    <mergeCell ref="A34:D34"/>
    <mergeCell ref="F37:I37"/>
    <mergeCell ref="A47:D47"/>
    <mergeCell ref="F49:I49"/>
    <mergeCell ref="A55:D55"/>
    <mergeCell ref="F56:I56"/>
    <mergeCell ref="F57:H58"/>
    <mergeCell ref="I57:I58"/>
    <mergeCell ref="F59:H60"/>
    <mergeCell ref="I59:I60"/>
    <mergeCell ref="F61:H62"/>
    <mergeCell ref="I61:I62"/>
    <mergeCell ref="F43:I43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A125-2C67-4BCC-BBF1-ED2243B4D74F}">
  <dimension ref="A1:I64"/>
  <sheetViews>
    <sheetView workbookViewId="0">
      <selection activeCell="N40" sqref="N40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2295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30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-2295</v>
      </c>
    </row>
    <row r="8" spans="1:9" x14ac:dyDescent="0.2">
      <c r="A8" s="39"/>
      <c r="B8" s="44" t="s">
        <v>42</v>
      </c>
      <c r="C8" s="45"/>
      <c r="D8" s="30">
        <f>SUM(D6:D7)</f>
        <v>0</v>
      </c>
      <c r="E8" s="2"/>
      <c r="F8" s="42"/>
      <c r="G8" s="42"/>
      <c r="H8" s="42"/>
      <c r="I8" s="43"/>
    </row>
    <row r="9" spans="1:9" x14ac:dyDescent="0.2">
      <c r="A9" s="31"/>
      <c r="B9" s="31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Tabela11342638[[#This Row],[Custo Projetado]]-Tabela11342638[[#This Row],[Custo Real]]</f>
        <v>1900</v>
      </c>
      <c r="E11" s="29"/>
      <c r="F11" s="20" t="s">
        <v>28</v>
      </c>
      <c r="G11" s="16">
        <v>0</v>
      </c>
      <c r="H11" s="16"/>
      <c r="I11" s="17">
        <f>Tabela21453749[[#This Row],[Custo Projetado]]-Tabela21453749[[#This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Tabela11342638[[#This Row],[Custo Projetado]]-Tabela11342638[[#This Row],[Custo Real]]</f>
        <v>100</v>
      </c>
      <c r="E12" s="29"/>
      <c r="F12" s="20" t="s">
        <v>29</v>
      </c>
      <c r="G12" s="16"/>
      <c r="H12" s="16"/>
      <c r="I12" s="17">
        <f>Tabela21453749[[#This Row],[Custo Projetado]]-Tabela21453749[[#This Row],[Custo Real]]</f>
        <v>0</v>
      </c>
    </row>
    <row r="13" spans="1:9" x14ac:dyDescent="0.2">
      <c r="A13" s="20" t="s">
        <v>46</v>
      </c>
      <c r="B13" s="16"/>
      <c r="C13" s="16"/>
      <c r="D13" s="17">
        <f>Tabela11342638[[#This Row],[Custo Projetado]]-Tabela11342638[[#This Row],[Custo Real]]</f>
        <v>0</v>
      </c>
      <c r="E13" s="29"/>
      <c r="F13" s="20" t="s">
        <v>30</v>
      </c>
      <c r="G13" s="16"/>
      <c r="H13" s="16"/>
      <c r="I13" s="17">
        <f>Tabela21453749[[#This Row],[Custo Projetado]]-Tabela21453749[[#This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Tabela11342638[[#This Row],[Custo Projetado]]-Tabela11342638[[#This Row],[Custo Real]]</f>
        <v>400</v>
      </c>
      <c r="E14" s="29"/>
      <c r="F14" s="20" t="s">
        <v>31</v>
      </c>
      <c r="G14" s="16"/>
      <c r="H14" s="16"/>
      <c r="I14" s="17">
        <f>Tabela21453749[[#This Row],[Custo Projetado]]-Tabela21453749[[#This Row],[Custo Real]]</f>
        <v>0</v>
      </c>
    </row>
    <row r="15" spans="1:9" x14ac:dyDescent="0.2">
      <c r="A15" s="20" t="s">
        <v>7</v>
      </c>
      <c r="B15" s="16"/>
      <c r="C15" s="16"/>
      <c r="D15" s="17">
        <f>Tabela11342638[[#This Row],[Custo Projetado]]-Tabela11342638[[#This Row],[Custo Real]]</f>
        <v>0</v>
      </c>
      <c r="E15" s="29"/>
      <c r="F15" s="20" t="s">
        <v>47</v>
      </c>
      <c r="G15" s="16">
        <v>150</v>
      </c>
      <c r="H15" s="16"/>
      <c r="I15" s="17">
        <f>Tabela21453749[[#This Row],[Custo Projetado]]-Tabela21453749[[#This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Tabela11342638[[#This Row],[Custo Projetado]]-Tabela11342638[[#This Row],[Custo Real]]</f>
        <v>0</v>
      </c>
      <c r="E16" s="29"/>
      <c r="F16" s="20" t="s">
        <v>32</v>
      </c>
      <c r="G16" s="16"/>
      <c r="H16" s="16"/>
      <c r="I16" s="17">
        <f>Tabela21453749[[#This Row],[Custo Projetado]]-Tabela21453749[[#This Row],[Custo Real]]</f>
        <v>0</v>
      </c>
    </row>
    <row r="17" spans="1:9" x14ac:dyDescent="0.2">
      <c r="A17" s="20" t="s">
        <v>9</v>
      </c>
      <c r="B17" s="16"/>
      <c r="C17" s="16"/>
      <c r="D17" s="17">
        <f>Tabela11342638[[#This Row],[Custo Projetado]]-Tabela11342638[[#This Row],[Custo Real]]</f>
        <v>0</v>
      </c>
      <c r="E17" s="29"/>
      <c r="F17" s="20" t="s">
        <v>12</v>
      </c>
      <c r="G17" s="16"/>
      <c r="H17" s="16"/>
      <c r="I17" s="17">
        <f>Tabela21453749[[#This Row],[Custo Projetado]]-Tabela21453749[[#This Row],[Custo Real]]</f>
        <v>0</v>
      </c>
    </row>
    <row r="18" spans="1:9" x14ac:dyDescent="0.2">
      <c r="A18" s="20" t="s">
        <v>10</v>
      </c>
      <c r="B18" s="16"/>
      <c r="C18" s="16"/>
      <c r="D18" s="17">
        <f>Tabela11342638[[#This Row],[Custo Projetado]]-Tabela11342638[[#This Row],[Custo Real]]</f>
        <v>0</v>
      </c>
      <c r="E18" s="29"/>
      <c r="F18" s="20" t="s">
        <v>12</v>
      </c>
      <c r="G18" s="16"/>
      <c r="H18" s="16"/>
      <c r="I18" s="17">
        <f>Tabela21453749[[#This Row],[Custo Projetado]]-Tabela21453749[[#This Row],[Custo Real]]</f>
        <v>0</v>
      </c>
    </row>
    <row r="19" spans="1:9" x14ac:dyDescent="0.2">
      <c r="A19" s="20" t="s">
        <v>11</v>
      </c>
      <c r="B19" s="16"/>
      <c r="C19" s="16"/>
      <c r="D19" s="17">
        <f>Tabela11342638[[#This Row],[Custo Projetado]]-Tabela11342638[[#This Row],[Custo Real]]</f>
        <v>0</v>
      </c>
      <c r="E19" s="29"/>
      <c r="F19" s="20" t="s">
        <v>12</v>
      </c>
      <c r="G19" s="16"/>
      <c r="H19" s="16"/>
      <c r="I19" s="17">
        <f>Tabela21453749[[#This Row],[Custo Projetado]]-Tabela21453749[[#This Row],[Custo Real]]</f>
        <v>0</v>
      </c>
    </row>
    <row r="20" spans="1:9" x14ac:dyDescent="0.2">
      <c r="A20" s="20" t="s">
        <v>12</v>
      </c>
      <c r="B20" s="16"/>
      <c r="C20" s="16"/>
      <c r="D20" s="17">
        <f>Tabela11342638[[#This Row],[Custo Projetado]]-Tabela11342638[[#This Row],[Custo Real]]</f>
        <v>0</v>
      </c>
      <c r="E20" s="29"/>
      <c r="F20" s="13" t="s">
        <v>68</v>
      </c>
      <c r="G20" s="18">
        <f>SUBTOTAL(109,Tabela21453749[Custo Projetado])</f>
        <v>150</v>
      </c>
      <c r="H20" s="16">
        <f>SUBTOTAL(109,Tabela21453749[Custo Real])</f>
        <v>0</v>
      </c>
      <c r="I20" s="19">
        <f>SUBTOTAL(109,Tabela21453749[Diferença])</f>
        <v>150</v>
      </c>
    </row>
    <row r="21" spans="1:9" x14ac:dyDescent="0.2">
      <c r="A21" s="13" t="s">
        <v>68</v>
      </c>
      <c r="B21" s="16">
        <f>SUBTOTAL(109,Tabela11342638[Custo Projetado])</f>
        <v>2400</v>
      </c>
      <c r="C21" s="16">
        <f>SUBTOTAL(109,Tabela11342638[Custo Real])</f>
        <v>0</v>
      </c>
      <c r="D21" s="19">
        <f>SUBTOTAL(109,Tabela11342638[Diferença])</f>
        <v>2400</v>
      </c>
      <c r="E21" s="29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29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29"/>
      <c r="F23" s="20" t="s">
        <v>79</v>
      </c>
      <c r="G23" s="16"/>
      <c r="H23" s="16"/>
      <c r="I23" s="17">
        <f>Tabela81423446[[#This Row],[Custo Projetado]]-Tabela81423446[[#This Row],[Custo Real]]</f>
        <v>0</v>
      </c>
    </row>
    <row r="24" spans="1:9" x14ac:dyDescent="0.2">
      <c r="A24" s="20" t="s">
        <v>72</v>
      </c>
      <c r="B24" s="16"/>
      <c r="C24" s="16"/>
      <c r="D24" s="17">
        <f>Tabela31413345[[#This Row],[Custo Projetado]]-Tabela31413345[[#This Row],[Custo Real]]</f>
        <v>0</v>
      </c>
      <c r="E24" s="29"/>
      <c r="F24" s="20" t="s">
        <v>39</v>
      </c>
      <c r="G24" s="16"/>
      <c r="H24" s="16"/>
      <c r="I24" s="17">
        <f>Tabela81423446[[#This Row],[Custo Projetado]]-Tabela81423446[[#This Row],[Custo Real]]</f>
        <v>0</v>
      </c>
    </row>
    <row r="25" spans="1:9" x14ac:dyDescent="0.2">
      <c r="A25" s="20" t="s">
        <v>45</v>
      </c>
      <c r="B25" s="16"/>
      <c r="C25" s="16"/>
      <c r="D25" s="17">
        <f>Tabela31413345[[#This Row],[Custo Projetado]]-Tabela31413345[[#This Row],[Custo Real]]</f>
        <v>0</v>
      </c>
      <c r="E25" s="29"/>
      <c r="F25" s="20" t="s">
        <v>48</v>
      </c>
      <c r="G25" s="16">
        <v>1614</v>
      </c>
      <c r="H25" s="16"/>
      <c r="I25" s="17">
        <f>Tabela81423446[[#This Row],[Custo Projetado]]-Tabela81423446[[#This Row],[Custo Real]]</f>
        <v>1614</v>
      </c>
    </row>
    <row r="26" spans="1:9" x14ac:dyDescent="0.2">
      <c r="A26" s="20" t="s">
        <v>13</v>
      </c>
      <c r="B26" s="16">
        <v>85</v>
      </c>
      <c r="C26" s="16"/>
      <c r="D26" s="17">
        <f>Tabela31413345[[#This Row],[Custo Projetado]]-Tabela31413345[[#This Row],[Custo Real]]</f>
        <v>85</v>
      </c>
      <c r="E26" s="29"/>
      <c r="F26" s="20" t="s">
        <v>80</v>
      </c>
      <c r="G26" s="16">
        <v>650</v>
      </c>
      <c r="H26" s="16"/>
      <c r="I26" s="17">
        <f>Tabela81423446[[#This Row],[Custo Projetado]]-Tabela81423446[[#This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Tabela31413345[[#This Row],[Custo Projetado]]-Tabela31413345[[#This Row],[Custo Real]]</f>
        <v>86</v>
      </c>
      <c r="E27" s="29"/>
      <c r="F27" s="20" t="s">
        <v>48</v>
      </c>
      <c r="G27" s="16"/>
      <c r="H27" s="16"/>
      <c r="I27" s="17">
        <f>Tabela81423446[[#This Row],[Custo Projetado]]-Tabela81423446[[#This Row],[Custo Real]]</f>
        <v>0</v>
      </c>
    </row>
    <row r="28" spans="1:9" x14ac:dyDescent="0.2">
      <c r="A28" s="20" t="s">
        <v>75</v>
      </c>
      <c r="B28" s="24"/>
      <c r="C28" s="24"/>
      <c r="D28" s="25">
        <f>Tabela31413345[[#This Row],[Custo Projetado]]-Tabela31413345[[#This Row],[Custo Real]]</f>
        <v>0</v>
      </c>
      <c r="E28" s="29"/>
      <c r="F28" s="20" t="s">
        <v>12</v>
      </c>
      <c r="G28" s="16"/>
      <c r="H28" s="16"/>
      <c r="I28" s="17">
        <f>Tabela81423446[[#This Row],[Custo Projetado]]-Tabela81423446[[#This Row],[Custo Real]]</f>
        <v>0</v>
      </c>
    </row>
    <row r="29" spans="1:9" x14ac:dyDescent="0.2">
      <c r="A29" s="20" t="s">
        <v>14</v>
      </c>
      <c r="B29" s="16"/>
      <c r="C29" s="16"/>
      <c r="D29" s="17">
        <f>Tabela31413345[[#This Row],[Custo Projetado]]-Tabela31413345[[#This Row],[Custo Real]]</f>
        <v>0</v>
      </c>
      <c r="E29" s="29"/>
      <c r="F29" s="13" t="s">
        <v>68</v>
      </c>
      <c r="G29" s="16">
        <f>SUBTOTAL(109,Tabela81423446[Custo Projetado])</f>
        <v>2264</v>
      </c>
      <c r="H29" s="16">
        <f>SUBTOTAL(109,Tabela81423446[Custo Real])</f>
        <v>0</v>
      </c>
      <c r="I29" s="19">
        <f>SUBTOTAL(109,Tabela81423446[Diferença])</f>
        <v>2264</v>
      </c>
    </row>
    <row r="30" spans="1:9" x14ac:dyDescent="0.2">
      <c r="A30" s="20" t="s">
        <v>15</v>
      </c>
      <c r="B30" s="16"/>
      <c r="C30" s="16"/>
      <c r="D30" s="17">
        <f>Tabela31413345[[#This Row],[Custo Projetado]]-Tabela31413345[[#This Row],[Custo Real]]</f>
        <v>0</v>
      </c>
      <c r="E30" s="29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Tabela31413345[[#This Row],[Custo Projetado]]-Tabela31413345[[#This Row],[Custo Real]]</f>
        <v>200</v>
      </c>
      <c r="E31" s="29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Tabela31413345[[#This Row],[Custo Projetado]]-Tabela31413345[[#This Row],[Custo Real]]</f>
        <v>0</v>
      </c>
      <c r="E32" s="29"/>
      <c r="F32" s="20" t="s">
        <v>34</v>
      </c>
      <c r="G32" s="16"/>
      <c r="H32" s="16"/>
      <c r="I32" s="17">
        <f>Tabela91403244[[#This Row],[Custo Projetado]]-Tabela91403244[[#This Row],[Custo Real]]</f>
        <v>0</v>
      </c>
    </row>
    <row r="33" spans="1:9" x14ac:dyDescent="0.2">
      <c r="A33" s="26" t="s">
        <v>68</v>
      </c>
      <c r="B33" s="27">
        <f>SUBTOTAL(109,Tabela31413345[Custo Projetado])</f>
        <v>371</v>
      </c>
      <c r="C33" s="27">
        <f>SUBTOTAL(109,Tabela31413345[Custo Real])</f>
        <v>0</v>
      </c>
      <c r="D33" s="28">
        <f>SUBTOTAL(109,Tabela31413345[Diferença])</f>
        <v>371</v>
      </c>
      <c r="E33" s="29"/>
      <c r="F33" s="20" t="s">
        <v>35</v>
      </c>
      <c r="G33" s="16"/>
      <c r="H33" s="16"/>
      <c r="I33" s="17">
        <f>Tabela91403244[[#This Row],[Custo Projetado]]-Tabela91403244[[#This Row],[Custo Real]]</f>
        <v>0</v>
      </c>
    </row>
    <row r="34" spans="1:9" x14ac:dyDescent="0.2">
      <c r="A34" s="46"/>
      <c r="B34" s="46"/>
      <c r="C34" s="46"/>
      <c r="D34" s="46"/>
      <c r="E34" s="29"/>
      <c r="F34" s="20" t="s">
        <v>36</v>
      </c>
      <c r="G34" s="16"/>
      <c r="H34" s="16"/>
      <c r="I34" s="17">
        <f>Tabela91403244[[#This Row],[Custo Projetado]]-Tabela91403244[[#This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29"/>
      <c r="F35" s="20" t="s">
        <v>12</v>
      </c>
      <c r="G35" s="16"/>
      <c r="H35" s="16"/>
      <c r="I35" s="17">
        <f>Tabela91403244[[#This Row],[Custo Projetado]]-Tabela91403244[[#This Row],[Custo Real]]</f>
        <v>0</v>
      </c>
    </row>
    <row r="36" spans="1:9" x14ac:dyDescent="0.2">
      <c r="A36" s="20" t="s">
        <v>16</v>
      </c>
      <c r="B36" s="16"/>
      <c r="C36" s="16"/>
      <c r="D36" s="17">
        <f>Tabela41352739[[#This Row],[Custo Projetado]]-Tabela41352739[[#This Row],[Custo Real]]</f>
        <v>0</v>
      </c>
      <c r="E36" s="29"/>
      <c r="F36" s="13" t="s">
        <v>68</v>
      </c>
      <c r="G36" s="16">
        <f>SUBTOTAL(109,Tabela91403244[Custo Projetado])</f>
        <v>0</v>
      </c>
      <c r="H36" s="16">
        <f>SUBTOTAL(109,Tabela91403244[Custo Real])</f>
        <v>0</v>
      </c>
      <c r="I36" s="19">
        <f>SUBTOTAL(109,Tabela91403244[Diferença])</f>
        <v>0</v>
      </c>
    </row>
    <row r="37" spans="1:9" x14ac:dyDescent="0.2">
      <c r="A37" s="20" t="s">
        <v>17</v>
      </c>
      <c r="B37" s="16"/>
      <c r="C37" s="16"/>
      <c r="D37" s="17">
        <f>Tabela41352739[[#This Row],[Custo Projetado]]-Tabela41352739[[#This Row],[Custo Real]]</f>
        <v>0</v>
      </c>
      <c r="E37" s="29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Tabela41352739[[#This Row],[Custo Projetado]]-Tabela41352739[[#This Row],[Custo Real]]</f>
        <v>0</v>
      </c>
      <c r="E38" s="29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Tabela41352739[[#This Row],[Custo Projetado]]-Tabela41352739[[#This Row],[Custo Real]]</f>
        <v>0</v>
      </c>
      <c r="E39" s="29"/>
      <c r="F39" s="20" t="s">
        <v>49</v>
      </c>
      <c r="G39" s="16"/>
      <c r="H39" s="16"/>
      <c r="I39" s="17">
        <f>Tabela101433547[[#This Row],[Custo Projetado]]-Tabela101433547[[#This Row],[Custo Real]]</f>
        <v>0</v>
      </c>
    </row>
    <row r="40" spans="1:9" x14ac:dyDescent="0.2">
      <c r="A40" s="13" t="s">
        <v>68</v>
      </c>
      <c r="B40" s="16">
        <f>SUBTOTAL(109,Tabela41352739[Custo Projetado])</f>
        <v>0</v>
      </c>
      <c r="C40" s="16">
        <f>SUBTOTAL(109,Tabela41352739[Custo Real])</f>
        <v>0</v>
      </c>
      <c r="D40" s="19">
        <f>SUBTOTAL(109,Tabela41352739[Diferença])</f>
        <v>0</v>
      </c>
      <c r="E40" s="29"/>
      <c r="F40" s="20" t="s">
        <v>50</v>
      </c>
      <c r="G40" s="16"/>
      <c r="H40" s="16"/>
      <c r="I40" s="17">
        <f>Tabela101433547[[#This Row],[Custo Projetado]]-Tabela101433547[[#This Row],[Custo Real]]</f>
        <v>0</v>
      </c>
    </row>
    <row r="41" spans="1:9" x14ac:dyDescent="0.2">
      <c r="A41" s="46"/>
      <c r="B41" s="46"/>
      <c r="C41" s="46"/>
      <c r="D41" s="46"/>
      <c r="E41" s="29"/>
      <c r="F41" s="20" t="s">
        <v>12</v>
      </c>
      <c r="G41" s="16"/>
      <c r="H41" s="16"/>
      <c r="I41" s="17">
        <f>Tabela101433547[[#This Row],[Custo Projetado]]-Tabela101433547[[#This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29"/>
      <c r="F42" s="13" t="s">
        <v>68</v>
      </c>
      <c r="G42" s="16">
        <f>SUBTOTAL(109,Tabela101433547[Custo Projetado])</f>
        <v>0</v>
      </c>
      <c r="H42" s="16">
        <f>SUBTOTAL(109,Tabela101433547[Custo Real])</f>
        <v>0</v>
      </c>
      <c r="I42" s="19">
        <f>SUBTOTAL(109,Tabela101433547[Diferença])</f>
        <v>0</v>
      </c>
    </row>
    <row r="43" spans="1:9" x14ac:dyDescent="0.2">
      <c r="A43" s="20" t="s">
        <v>19</v>
      </c>
      <c r="B43" s="16"/>
      <c r="C43" s="16"/>
      <c r="D43" s="17">
        <f>Tabela51393143[[#This Row],[Custo Projetado]]-Tabela51393143[[#This Row],[Custo Real]]</f>
        <v>0</v>
      </c>
      <c r="E43" s="29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Tabela51393143[[#This Row],[Custo Projetado]]-Tabela51393143[[#This Row],[Custo Real]]</f>
        <v>400</v>
      </c>
      <c r="E44" s="29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Tabela51393143[[#This Row],[Custo Projetado]]-Tabela51393143[[#This Row],[Custo Real]]</f>
        <v>0</v>
      </c>
      <c r="E45" s="29"/>
      <c r="F45" s="20" t="s">
        <v>73</v>
      </c>
      <c r="G45" s="16"/>
      <c r="H45" s="16"/>
      <c r="I45" s="17">
        <f>Tabela111383042[[#This Row],[Custo Projetado]]-Tabela111383042[[#This Row],[Custo Real]]</f>
        <v>0</v>
      </c>
    </row>
    <row r="46" spans="1:9" x14ac:dyDescent="0.2">
      <c r="A46" s="13" t="s">
        <v>68</v>
      </c>
      <c r="B46" s="16">
        <f>SUBTOTAL(109,Tabela51393143[Custo Projetado])</f>
        <v>400</v>
      </c>
      <c r="C46" s="16">
        <f>SUBTOTAL(109,Tabela51393143[Custo Real])</f>
        <v>0</v>
      </c>
      <c r="D46" s="19">
        <f>SUBTOTAL(109,Tabela51393143[Diferença])</f>
        <v>400</v>
      </c>
      <c r="E46" s="29"/>
      <c r="F46" s="20" t="s">
        <v>74</v>
      </c>
      <c r="G46" s="16"/>
      <c r="H46" s="16"/>
      <c r="I46" s="17">
        <f>Tabela111383042[[#This Row],[Custo Projetado]]-Tabela111383042[[#This Row],[Custo Real]]</f>
        <v>0</v>
      </c>
    </row>
    <row r="47" spans="1:9" x14ac:dyDescent="0.2">
      <c r="A47" s="46"/>
      <c r="B47" s="46"/>
      <c r="C47" s="46"/>
      <c r="D47" s="46"/>
      <c r="E47" s="29"/>
      <c r="F47" s="20" t="s">
        <v>43</v>
      </c>
      <c r="G47" s="16"/>
      <c r="H47" s="16"/>
      <c r="I47" s="17">
        <f>Tabela111383042[[#This Row],[Custo Projetado]]-Tabela111383042[[#This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29"/>
      <c r="F48" s="13" t="s">
        <v>68</v>
      </c>
      <c r="G48" s="16">
        <f>SUBTOTAL(109,Tabela111383042[Custo Projetado])</f>
        <v>0</v>
      </c>
      <c r="H48" s="16">
        <f>SUBTOTAL(109,Tabela111383042[Custo Real])</f>
        <v>0</v>
      </c>
      <c r="I48" s="19">
        <f>SUBTOTAL(109,Tabela111383042[Diferença])</f>
        <v>0</v>
      </c>
    </row>
    <row r="49" spans="1:9" x14ac:dyDescent="0.2">
      <c r="A49" s="20" t="s">
        <v>20</v>
      </c>
      <c r="B49" s="16"/>
      <c r="C49" s="16"/>
      <c r="D49" s="17">
        <f>Tabela61372941[[#This Row],[Custo Projetado]]-Tabela61372941[[#This Row],[Custo Real]]</f>
        <v>0</v>
      </c>
      <c r="E49" s="29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Tabela61372941[[#This Row],[Custo Projetado]]-Tabela61372941[[#This Row],[Custo Real]]</f>
        <v>0</v>
      </c>
      <c r="E50" s="29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Tabela61372941[[#This Row],[Custo Projetado]]-Tabela61372941[[#This Row],[Custo Real]]</f>
        <v>0</v>
      </c>
      <c r="E51" s="29"/>
      <c r="F51" s="20" t="s">
        <v>37</v>
      </c>
      <c r="G51" s="16"/>
      <c r="H51" s="16"/>
      <c r="I51" s="17">
        <f>Tabela121362840[[#This Row],[Custo Projetado]]-Tabela121362840[[#This Row],[Custo Real]]</f>
        <v>0</v>
      </c>
    </row>
    <row r="52" spans="1:9" x14ac:dyDescent="0.2">
      <c r="A52" s="20" t="s">
        <v>21</v>
      </c>
      <c r="B52" s="16"/>
      <c r="C52" s="16"/>
      <c r="D52" s="17">
        <f>Tabela61372941[[#This Row],[Custo Projetado]]-Tabela61372941[[#This Row],[Custo Real]]</f>
        <v>0</v>
      </c>
      <c r="E52" s="29"/>
      <c r="F52" s="20" t="s">
        <v>38</v>
      </c>
      <c r="G52" s="16"/>
      <c r="H52" s="16"/>
      <c r="I52" s="17">
        <f>Tabela121362840[[#This Row],[Custo Projetado]]-Tabela121362840[[#This Row],[Custo Real]]</f>
        <v>0</v>
      </c>
    </row>
    <row r="53" spans="1:9" x14ac:dyDescent="0.2">
      <c r="A53" s="20" t="s">
        <v>12</v>
      </c>
      <c r="B53" s="16"/>
      <c r="C53" s="16"/>
      <c r="D53" s="17">
        <f>Tabela61372941[[#This Row],[Custo Projetado]]-Tabela61372941[[#This Row],[Custo Real]]</f>
        <v>0</v>
      </c>
      <c r="E53" s="29"/>
      <c r="F53" s="20" t="s">
        <v>44</v>
      </c>
      <c r="G53" s="16"/>
      <c r="H53" s="16"/>
      <c r="I53" s="17">
        <f>Tabela121362840[[#This Row],[Custo Projetado]]-Tabela121362840[[#This Row],[Custo Real]]</f>
        <v>0</v>
      </c>
    </row>
    <row r="54" spans="1:9" x14ac:dyDescent="0.2">
      <c r="A54" s="13" t="s">
        <v>68</v>
      </c>
      <c r="B54" s="16">
        <f>SUBTOTAL(109,Tabela61372941[Custo Projetado])</f>
        <v>0</v>
      </c>
      <c r="C54" s="16">
        <f>SUBTOTAL(109,Tabela61372941[Custo Real])</f>
        <v>0</v>
      </c>
      <c r="D54" s="19">
        <f>SUBTOTAL(109,Tabela61372941[Diferença])</f>
        <v>0</v>
      </c>
      <c r="E54" s="29"/>
      <c r="F54" s="20" t="s">
        <v>12</v>
      </c>
      <c r="G54" s="16"/>
      <c r="H54" s="16"/>
      <c r="I54" s="17">
        <f>Tabela121362840[[#This Row],[Custo Projetado]]-Tabela121362840[[#This Row],[Custo Real]]</f>
        <v>0</v>
      </c>
    </row>
    <row r="55" spans="1:9" x14ac:dyDescent="0.2">
      <c r="A55" s="46"/>
      <c r="B55" s="46"/>
      <c r="C55" s="46"/>
      <c r="D55" s="46"/>
      <c r="E55" s="29"/>
      <c r="F55" s="13" t="s">
        <v>68</v>
      </c>
      <c r="G55" s="16">
        <f>SUBTOTAL(109,Tabela121362840[Custo Projetado])</f>
        <v>0</v>
      </c>
      <c r="H55" s="16">
        <f>SUBTOTAL(109,Tabela121362840[Custo Real])</f>
        <v>0</v>
      </c>
      <c r="I55" s="19">
        <f>SUBTOTAL(109,Tabela121362840[Diferença])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Tabela71443648[[#This Row],[Custo Projetado]]-Tabela71443648[[#This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6305</v>
      </c>
    </row>
    <row r="58" spans="1:9" x14ac:dyDescent="0.2">
      <c r="A58" s="20" t="s">
        <v>25</v>
      </c>
      <c r="B58" s="16">
        <v>100</v>
      </c>
      <c r="C58" s="16"/>
      <c r="D58" s="17">
        <f>Tabela71443648[[#This Row],[Custo Projetado]]-Tabela71443648[[#This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Tabela71443648[[#This Row],[Custo Projetado]]-Tabela71443648[[#This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Tabela71443648[[#This Row],[Custo Projetado]]-Tabela71443648[[#This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Tabela71443648[[#This Row],[Custo Projetado]]-Tabela71443648[[#This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6305</v>
      </c>
    </row>
    <row r="62" spans="1:9" x14ac:dyDescent="0.2">
      <c r="A62" s="20" t="s">
        <v>81</v>
      </c>
      <c r="B62" s="16">
        <v>470</v>
      </c>
      <c r="C62" s="16"/>
      <c r="D62" s="17">
        <f>Tabela71443648[[#This Row],[Custo Projetado]]-Tabela71443648[[#This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Tabela71443648[[#This Row],[Custo Projetado]]-Tabela71443648[[#This Row],[Custo Real]]</f>
        <v>0</v>
      </c>
    </row>
    <row r="64" spans="1:9" x14ac:dyDescent="0.2">
      <c r="A64" s="13" t="s">
        <v>68</v>
      </c>
      <c r="B64" s="16">
        <f>SUBTOTAL(109,Tabela71443648[Custo Projetado])</f>
        <v>720</v>
      </c>
      <c r="C64" s="16">
        <f>SUBTOTAL(109,Tabela71443648[Custo Real])</f>
        <v>0</v>
      </c>
      <c r="D64" s="19">
        <f>SUBTOTAL(109,Tabela71443648[Diferença])</f>
        <v>720</v>
      </c>
    </row>
  </sheetData>
  <mergeCells count="33"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  <mergeCell ref="A41:D41"/>
    <mergeCell ref="A6:A8"/>
    <mergeCell ref="B6:C6"/>
    <mergeCell ref="B7:C7"/>
    <mergeCell ref="F7:H8"/>
    <mergeCell ref="F21:I21"/>
    <mergeCell ref="A22:D22"/>
    <mergeCell ref="F30:I30"/>
    <mergeCell ref="A34:D34"/>
    <mergeCell ref="F37:I37"/>
    <mergeCell ref="A47:D47"/>
    <mergeCell ref="F49:I49"/>
    <mergeCell ref="A55:D55"/>
    <mergeCell ref="F56:I56"/>
    <mergeCell ref="F57:H58"/>
    <mergeCell ref="I57:I58"/>
    <mergeCell ref="F59:H60"/>
    <mergeCell ref="I59:I60"/>
    <mergeCell ref="F61:H62"/>
    <mergeCell ref="I61:I62"/>
    <mergeCell ref="F43:I43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8FA8-733A-4E37-AEFC-A79C0EA780CA}">
  <dimension ref="A1:I64"/>
  <sheetViews>
    <sheetView topLeftCell="A10" workbookViewId="0">
      <selection activeCell="G26" sqref="G26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3197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30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-3197</v>
      </c>
    </row>
    <row r="8" spans="1:9" x14ac:dyDescent="0.2">
      <c r="A8" s="39"/>
      <c r="B8" s="44" t="s">
        <v>42</v>
      </c>
      <c r="C8" s="45"/>
      <c r="D8" s="30">
        <f>SUM(D6:D7)</f>
        <v>0</v>
      </c>
      <c r="E8" s="2"/>
      <c r="F8" s="42"/>
      <c r="G8" s="42"/>
      <c r="H8" s="42"/>
      <c r="I8" s="43"/>
    </row>
    <row r="9" spans="1:9" x14ac:dyDescent="0.2">
      <c r="A9" s="31"/>
      <c r="B9" s="31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Tabela1134263850[[#This Row],[Custo Projetado]]-Tabela1134263850[[#This Row],[Custo Real]]</f>
        <v>1900</v>
      </c>
      <c r="E11" s="29"/>
      <c r="F11" s="20" t="s">
        <v>28</v>
      </c>
      <c r="G11" s="16">
        <v>0</v>
      </c>
      <c r="H11" s="16"/>
      <c r="I11" s="17">
        <f>Tabela2145374961[[#This Row],[Custo Projetado]]-Tabela2145374961[[#This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Tabela1134263850[[#This Row],[Custo Projetado]]-Tabela1134263850[[#This Row],[Custo Real]]</f>
        <v>100</v>
      </c>
      <c r="E12" s="29"/>
      <c r="F12" s="20" t="s">
        <v>29</v>
      </c>
      <c r="G12" s="16"/>
      <c r="H12" s="16"/>
      <c r="I12" s="17">
        <f>Tabela2145374961[[#This Row],[Custo Projetado]]-Tabela2145374961[[#This Row],[Custo Real]]</f>
        <v>0</v>
      </c>
    </row>
    <row r="13" spans="1:9" x14ac:dyDescent="0.2">
      <c r="A13" s="20" t="s">
        <v>46</v>
      </c>
      <c r="B13" s="16"/>
      <c r="C13" s="16"/>
      <c r="D13" s="17">
        <f>Tabela1134263850[[#This Row],[Custo Projetado]]-Tabela1134263850[[#This Row],[Custo Real]]</f>
        <v>0</v>
      </c>
      <c r="E13" s="29"/>
      <c r="F13" s="20" t="s">
        <v>30</v>
      </c>
      <c r="G13" s="16"/>
      <c r="H13" s="16"/>
      <c r="I13" s="17">
        <f>Tabela2145374961[[#This Row],[Custo Projetado]]-Tabela2145374961[[#This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Tabela1134263850[[#This Row],[Custo Projetado]]-Tabela1134263850[[#This Row],[Custo Real]]</f>
        <v>400</v>
      </c>
      <c r="E14" s="29"/>
      <c r="F14" s="20" t="s">
        <v>31</v>
      </c>
      <c r="G14" s="16"/>
      <c r="H14" s="16"/>
      <c r="I14" s="17">
        <f>Tabela2145374961[[#This Row],[Custo Projetado]]-Tabela2145374961[[#This Row],[Custo Real]]</f>
        <v>0</v>
      </c>
    </row>
    <row r="15" spans="1:9" x14ac:dyDescent="0.2">
      <c r="A15" s="20" t="s">
        <v>7</v>
      </c>
      <c r="B15" s="16"/>
      <c r="C15" s="16"/>
      <c r="D15" s="17">
        <f>Tabela1134263850[[#This Row],[Custo Projetado]]-Tabela1134263850[[#This Row],[Custo Real]]</f>
        <v>0</v>
      </c>
      <c r="E15" s="29"/>
      <c r="F15" s="20" t="s">
        <v>47</v>
      </c>
      <c r="G15" s="16">
        <v>150</v>
      </c>
      <c r="H15" s="16"/>
      <c r="I15" s="17">
        <f>Tabela2145374961[[#This Row],[Custo Projetado]]-Tabela2145374961[[#This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Tabela1134263850[[#This Row],[Custo Projetado]]-Tabela1134263850[[#This Row],[Custo Real]]</f>
        <v>0</v>
      </c>
      <c r="E16" s="29"/>
      <c r="F16" s="20" t="s">
        <v>32</v>
      </c>
      <c r="G16" s="16"/>
      <c r="H16" s="16"/>
      <c r="I16" s="17">
        <f>Tabela2145374961[[#This Row],[Custo Projetado]]-Tabela2145374961[[#This Row],[Custo Real]]</f>
        <v>0</v>
      </c>
    </row>
    <row r="17" spans="1:9" x14ac:dyDescent="0.2">
      <c r="A17" s="20" t="s">
        <v>9</v>
      </c>
      <c r="B17" s="16"/>
      <c r="C17" s="16"/>
      <c r="D17" s="17">
        <f>Tabela1134263850[[#This Row],[Custo Projetado]]-Tabela1134263850[[#This Row],[Custo Real]]</f>
        <v>0</v>
      </c>
      <c r="E17" s="29"/>
      <c r="F17" s="20" t="s">
        <v>12</v>
      </c>
      <c r="G17" s="16"/>
      <c r="H17" s="16"/>
      <c r="I17" s="17">
        <f>Tabela2145374961[[#This Row],[Custo Projetado]]-Tabela2145374961[[#This Row],[Custo Real]]</f>
        <v>0</v>
      </c>
    </row>
    <row r="18" spans="1:9" x14ac:dyDescent="0.2">
      <c r="A18" s="20" t="s">
        <v>10</v>
      </c>
      <c r="B18" s="16"/>
      <c r="C18" s="16"/>
      <c r="D18" s="17">
        <f>Tabela1134263850[[#This Row],[Custo Projetado]]-Tabela1134263850[[#This Row],[Custo Real]]</f>
        <v>0</v>
      </c>
      <c r="E18" s="29"/>
      <c r="F18" s="20" t="s">
        <v>12</v>
      </c>
      <c r="G18" s="16"/>
      <c r="H18" s="16"/>
      <c r="I18" s="17">
        <f>Tabela2145374961[[#This Row],[Custo Projetado]]-Tabela2145374961[[#This Row],[Custo Real]]</f>
        <v>0</v>
      </c>
    </row>
    <row r="19" spans="1:9" x14ac:dyDescent="0.2">
      <c r="A19" s="20" t="s">
        <v>11</v>
      </c>
      <c r="B19" s="16"/>
      <c r="C19" s="16"/>
      <c r="D19" s="17">
        <f>Tabela1134263850[[#This Row],[Custo Projetado]]-Tabela1134263850[[#This Row],[Custo Real]]</f>
        <v>0</v>
      </c>
      <c r="E19" s="29"/>
      <c r="F19" s="20" t="s">
        <v>12</v>
      </c>
      <c r="G19" s="16"/>
      <c r="H19" s="16"/>
      <c r="I19" s="17">
        <f>Tabela2145374961[[#This Row],[Custo Projetado]]-Tabela2145374961[[#This Row],[Custo Real]]</f>
        <v>0</v>
      </c>
    </row>
    <row r="20" spans="1:9" x14ac:dyDescent="0.2">
      <c r="A20" s="20" t="s">
        <v>12</v>
      </c>
      <c r="B20" s="16"/>
      <c r="C20" s="16"/>
      <c r="D20" s="17">
        <f>Tabela1134263850[[#This Row],[Custo Projetado]]-Tabela1134263850[[#This Row],[Custo Real]]</f>
        <v>0</v>
      </c>
      <c r="E20" s="29"/>
      <c r="F20" s="13" t="s">
        <v>68</v>
      </c>
      <c r="G20" s="18">
        <f>SUBTOTAL(109,Tabela2145374961[Custo Projetado])</f>
        <v>150</v>
      </c>
      <c r="H20" s="16">
        <f>SUBTOTAL(109,Tabela2145374961[Custo Real])</f>
        <v>0</v>
      </c>
      <c r="I20" s="19">
        <f>SUBTOTAL(109,Tabela2145374961[Diferença])</f>
        <v>150</v>
      </c>
    </row>
    <row r="21" spans="1:9" x14ac:dyDescent="0.2">
      <c r="A21" s="13" t="s">
        <v>68</v>
      </c>
      <c r="B21" s="16">
        <f>SUBTOTAL(109,Tabela1134263850[Custo Projetado])</f>
        <v>2400</v>
      </c>
      <c r="C21" s="16">
        <f>SUBTOTAL(109,Tabela1134263850[Custo Real])</f>
        <v>0</v>
      </c>
      <c r="D21" s="19">
        <f>SUBTOTAL(109,Tabela1134263850[Diferença])</f>
        <v>2400</v>
      </c>
      <c r="E21" s="29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29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29"/>
      <c r="F23" s="20" t="s">
        <v>79</v>
      </c>
      <c r="G23" s="16"/>
      <c r="H23" s="16"/>
      <c r="I23" s="17">
        <f>Tabela8142344658[[#This Row],[Custo Projetado]]-Tabela8142344658[[#This Row],[Custo Real]]</f>
        <v>0</v>
      </c>
    </row>
    <row r="24" spans="1:9" x14ac:dyDescent="0.2">
      <c r="A24" s="20" t="s">
        <v>72</v>
      </c>
      <c r="B24" s="16"/>
      <c r="C24" s="16"/>
      <c r="D24" s="17">
        <f>Tabela3141334557[[#This Row],[Custo Projetado]]-Tabela3141334557[[#This Row],[Custo Real]]</f>
        <v>0</v>
      </c>
      <c r="E24" s="29"/>
      <c r="F24" s="20" t="s">
        <v>39</v>
      </c>
      <c r="G24" s="16"/>
      <c r="H24" s="16"/>
      <c r="I24" s="17">
        <f>Tabela8142344658[[#This Row],[Custo Projetado]]-Tabela8142344658[[#This Row],[Custo Real]]</f>
        <v>0</v>
      </c>
    </row>
    <row r="25" spans="1:9" x14ac:dyDescent="0.2">
      <c r="A25" s="20" t="s">
        <v>45</v>
      </c>
      <c r="B25" s="16"/>
      <c r="C25" s="16"/>
      <c r="D25" s="17">
        <f>Tabela3141334557[[#This Row],[Custo Projetado]]-Tabela3141334557[[#This Row],[Custo Real]]</f>
        <v>0</v>
      </c>
      <c r="E25" s="29"/>
      <c r="F25" s="20" t="s">
        <v>48</v>
      </c>
      <c r="G25" s="16">
        <v>712</v>
      </c>
      <c r="H25" s="16"/>
      <c r="I25" s="17">
        <f>Tabela8142344658[[#This Row],[Custo Projetado]]-Tabela8142344658[[#This Row],[Custo Real]]</f>
        <v>712</v>
      </c>
    </row>
    <row r="26" spans="1:9" x14ac:dyDescent="0.2">
      <c r="A26" s="20" t="s">
        <v>13</v>
      </c>
      <c r="B26" s="16">
        <v>85</v>
      </c>
      <c r="C26" s="16"/>
      <c r="D26" s="17">
        <f>Tabela3141334557[[#This Row],[Custo Projetado]]-Tabela3141334557[[#This Row],[Custo Real]]</f>
        <v>85</v>
      </c>
      <c r="E26" s="29"/>
      <c r="F26" s="20" t="s">
        <v>80</v>
      </c>
      <c r="G26" s="16">
        <v>650</v>
      </c>
      <c r="H26" s="16"/>
      <c r="I26" s="17">
        <f>Tabela8142344658[[#This Row],[Custo Projetado]]-Tabela8142344658[[#This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Tabela3141334557[[#This Row],[Custo Projetado]]-Tabela3141334557[[#This Row],[Custo Real]]</f>
        <v>86</v>
      </c>
      <c r="E27" s="29"/>
      <c r="F27" s="20" t="s">
        <v>48</v>
      </c>
      <c r="G27" s="16"/>
      <c r="H27" s="16"/>
      <c r="I27" s="17">
        <f>Tabela8142344658[[#This Row],[Custo Projetado]]-Tabela8142344658[[#This Row],[Custo Real]]</f>
        <v>0</v>
      </c>
    </row>
    <row r="28" spans="1:9" x14ac:dyDescent="0.2">
      <c r="A28" s="20" t="s">
        <v>75</v>
      </c>
      <c r="B28" s="24"/>
      <c r="C28" s="24"/>
      <c r="D28" s="25">
        <f>Tabela3141334557[[#This Row],[Custo Projetado]]-Tabela3141334557[[#This Row],[Custo Real]]</f>
        <v>0</v>
      </c>
      <c r="E28" s="29"/>
      <c r="F28" s="20" t="s">
        <v>12</v>
      </c>
      <c r="G28" s="16"/>
      <c r="H28" s="16"/>
      <c r="I28" s="17">
        <f>Tabela8142344658[[#This Row],[Custo Projetado]]-Tabela8142344658[[#This Row],[Custo Real]]</f>
        <v>0</v>
      </c>
    </row>
    <row r="29" spans="1:9" x14ac:dyDescent="0.2">
      <c r="A29" s="20" t="s">
        <v>14</v>
      </c>
      <c r="B29" s="16"/>
      <c r="C29" s="16"/>
      <c r="D29" s="17">
        <f>Tabela3141334557[[#This Row],[Custo Projetado]]-Tabela3141334557[[#This Row],[Custo Real]]</f>
        <v>0</v>
      </c>
      <c r="E29" s="29"/>
      <c r="F29" s="13" t="s">
        <v>68</v>
      </c>
      <c r="G29" s="16">
        <f>SUBTOTAL(109,Tabela8142344658[Custo Projetado])</f>
        <v>1362</v>
      </c>
      <c r="H29" s="16">
        <f>SUBTOTAL(109,Tabela8142344658[Custo Real])</f>
        <v>0</v>
      </c>
      <c r="I29" s="19">
        <f>SUBTOTAL(109,Tabela8142344658[Diferença])</f>
        <v>1362</v>
      </c>
    </row>
    <row r="30" spans="1:9" x14ac:dyDescent="0.2">
      <c r="A30" s="20" t="s">
        <v>15</v>
      </c>
      <c r="B30" s="16"/>
      <c r="C30" s="16"/>
      <c r="D30" s="17">
        <f>Tabela3141334557[[#This Row],[Custo Projetado]]-Tabela3141334557[[#This Row],[Custo Real]]</f>
        <v>0</v>
      </c>
      <c r="E30" s="29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Tabela3141334557[[#This Row],[Custo Projetado]]-Tabela3141334557[[#This Row],[Custo Real]]</f>
        <v>200</v>
      </c>
      <c r="E31" s="29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Tabela3141334557[[#This Row],[Custo Projetado]]-Tabela3141334557[[#This Row],[Custo Real]]</f>
        <v>0</v>
      </c>
      <c r="E32" s="29"/>
      <c r="F32" s="20" t="s">
        <v>34</v>
      </c>
      <c r="G32" s="16"/>
      <c r="H32" s="16"/>
      <c r="I32" s="17">
        <f>Tabela9140324456[[#This Row],[Custo Projetado]]-Tabela9140324456[[#This Row],[Custo Real]]</f>
        <v>0</v>
      </c>
    </row>
    <row r="33" spans="1:9" x14ac:dyDescent="0.2">
      <c r="A33" s="26" t="s">
        <v>68</v>
      </c>
      <c r="B33" s="27">
        <f>SUBTOTAL(109,Tabela3141334557[Custo Projetado])</f>
        <v>371</v>
      </c>
      <c r="C33" s="27">
        <f>SUBTOTAL(109,Tabela3141334557[Custo Real])</f>
        <v>0</v>
      </c>
      <c r="D33" s="28">
        <f>SUBTOTAL(109,Tabela3141334557[Diferença])</f>
        <v>371</v>
      </c>
      <c r="E33" s="29"/>
      <c r="F33" s="20" t="s">
        <v>35</v>
      </c>
      <c r="G33" s="16"/>
      <c r="H33" s="16"/>
      <c r="I33" s="17">
        <f>Tabela9140324456[[#This Row],[Custo Projetado]]-Tabela9140324456[[#This Row],[Custo Real]]</f>
        <v>0</v>
      </c>
    </row>
    <row r="34" spans="1:9" x14ac:dyDescent="0.2">
      <c r="A34" s="46"/>
      <c r="B34" s="46"/>
      <c r="C34" s="46"/>
      <c r="D34" s="46"/>
      <c r="E34" s="29"/>
      <c r="F34" s="20" t="s">
        <v>36</v>
      </c>
      <c r="G34" s="16"/>
      <c r="H34" s="16"/>
      <c r="I34" s="17">
        <f>Tabela9140324456[[#This Row],[Custo Projetado]]-Tabela9140324456[[#This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29"/>
      <c r="F35" s="20" t="s">
        <v>12</v>
      </c>
      <c r="G35" s="16"/>
      <c r="H35" s="16"/>
      <c r="I35" s="17">
        <f>Tabela9140324456[[#This Row],[Custo Projetado]]-Tabela9140324456[[#This Row],[Custo Real]]</f>
        <v>0</v>
      </c>
    </row>
    <row r="36" spans="1:9" x14ac:dyDescent="0.2">
      <c r="A36" s="20" t="s">
        <v>16</v>
      </c>
      <c r="B36" s="16"/>
      <c r="C36" s="16"/>
      <c r="D36" s="17">
        <f>Tabela4135273951[[#This Row],[Custo Projetado]]-Tabela4135273951[[#This Row],[Custo Real]]</f>
        <v>0</v>
      </c>
      <c r="E36" s="29"/>
      <c r="F36" s="13" t="s">
        <v>68</v>
      </c>
      <c r="G36" s="16">
        <f>SUBTOTAL(109,Tabela9140324456[Custo Projetado])</f>
        <v>0</v>
      </c>
      <c r="H36" s="16">
        <f>SUBTOTAL(109,Tabela9140324456[Custo Real])</f>
        <v>0</v>
      </c>
      <c r="I36" s="19">
        <f>SUBTOTAL(109,Tabela9140324456[Diferença])</f>
        <v>0</v>
      </c>
    </row>
    <row r="37" spans="1:9" x14ac:dyDescent="0.2">
      <c r="A37" s="20" t="s">
        <v>17</v>
      </c>
      <c r="B37" s="16"/>
      <c r="C37" s="16"/>
      <c r="D37" s="17">
        <f>Tabela4135273951[[#This Row],[Custo Projetado]]-Tabela4135273951[[#This Row],[Custo Real]]</f>
        <v>0</v>
      </c>
      <c r="E37" s="29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Tabela4135273951[[#This Row],[Custo Projetado]]-Tabela4135273951[[#This Row],[Custo Real]]</f>
        <v>0</v>
      </c>
      <c r="E38" s="29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Tabela4135273951[[#This Row],[Custo Projetado]]-Tabela4135273951[[#This Row],[Custo Real]]</f>
        <v>0</v>
      </c>
      <c r="E39" s="29"/>
      <c r="F39" s="20" t="s">
        <v>49</v>
      </c>
      <c r="G39" s="16"/>
      <c r="H39" s="16"/>
      <c r="I39" s="17">
        <f>Tabela10143354759[[#This Row],[Custo Projetado]]-Tabela10143354759[[#This Row],[Custo Real]]</f>
        <v>0</v>
      </c>
    </row>
    <row r="40" spans="1:9" x14ac:dyDescent="0.2">
      <c r="A40" s="13" t="s">
        <v>68</v>
      </c>
      <c r="B40" s="16">
        <f>SUBTOTAL(109,Tabela4135273951[Custo Projetado])</f>
        <v>0</v>
      </c>
      <c r="C40" s="16">
        <f>SUBTOTAL(109,Tabela4135273951[Custo Real])</f>
        <v>0</v>
      </c>
      <c r="D40" s="19">
        <f>SUBTOTAL(109,Tabela4135273951[Diferença])</f>
        <v>0</v>
      </c>
      <c r="E40" s="29"/>
      <c r="F40" s="20" t="s">
        <v>50</v>
      </c>
      <c r="G40" s="16"/>
      <c r="H40" s="16"/>
      <c r="I40" s="17">
        <f>Tabela10143354759[[#This Row],[Custo Projetado]]-Tabela10143354759[[#This Row],[Custo Real]]</f>
        <v>0</v>
      </c>
    </row>
    <row r="41" spans="1:9" x14ac:dyDescent="0.2">
      <c r="A41" s="46"/>
      <c r="B41" s="46"/>
      <c r="C41" s="46"/>
      <c r="D41" s="46"/>
      <c r="E41" s="29"/>
      <c r="F41" s="20" t="s">
        <v>12</v>
      </c>
      <c r="G41" s="16"/>
      <c r="H41" s="16"/>
      <c r="I41" s="17">
        <f>Tabela10143354759[[#This Row],[Custo Projetado]]-Tabela10143354759[[#This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29"/>
      <c r="F42" s="13" t="s">
        <v>68</v>
      </c>
      <c r="G42" s="16">
        <f>SUBTOTAL(109,Tabela10143354759[Custo Projetado])</f>
        <v>0</v>
      </c>
      <c r="H42" s="16">
        <f>SUBTOTAL(109,Tabela10143354759[Custo Real])</f>
        <v>0</v>
      </c>
      <c r="I42" s="19">
        <f>SUBTOTAL(109,Tabela10143354759[Diferença])</f>
        <v>0</v>
      </c>
    </row>
    <row r="43" spans="1:9" x14ac:dyDescent="0.2">
      <c r="A43" s="20" t="s">
        <v>19</v>
      </c>
      <c r="B43" s="16"/>
      <c r="C43" s="16"/>
      <c r="D43" s="17">
        <f>Tabela5139314355[[#This Row],[Custo Projetado]]-Tabela5139314355[[#This Row],[Custo Real]]</f>
        <v>0</v>
      </c>
      <c r="E43" s="29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Tabela5139314355[[#This Row],[Custo Projetado]]-Tabela5139314355[[#This Row],[Custo Real]]</f>
        <v>400</v>
      </c>
      <c r="E44" s="29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Tabela5139314355[[#This Row],[Custo Projetado]]-Tabela5139314355[[#This Row],[Custo Real]]</f>
        <v>0</v>
      </c>
      <c r="E45" s="29"/>
      <c r="F45" s="20" t="s">
        <v>73</v>
      </c>
      <c r="G45" s="16"/>
      <c r="H45" s="16"/>
      <c r="I45" s="17">
        <f>Tabela11138304254[[#This Row],[Custo Projetado]]-Tabela11138304254[[#This Row],[Custo Real]]</f>
        <v>0</v>
      </c>
    </row>
    <row r="46" spans="1:9" x14ac:dyDescent="0.2">
      <c r="A46" s="13" t="s">
        <v>68</v>
      </c>
      <c r="B46" s="16">
        <f>SUBTOTAL(109,Tabela5139314355[Custo Projetado])</f>
        <v>400</v>
      </c>
      <c r="C46" s="16">
        <f>SUBTOTAL(109,Tabela5139314355[Custo Real])</f>
        <v>0</v>
      </c>
      <c r="D46" s="19">
        <f>SUBTOTAL(109,Tabela5139314355[Diferença])</f>
        <v>400</v>
      </c>
      <c r="E46" s="29"/>
      <c r="F46" s="20" t="s">
        <v>74</v>
      </c>
      <c r="G46" s="16"/>
      <c r="H46" s="16"/>
      <c r="I46" s="17">
        <f>Tabela11138304254[[#This Row],[Custo Projetado]]-Tabela11138304254[[#This Row],[Custo Real]]</f>
        <v>0</v>
      </c>
    </row>
    <row r="47" spans="1:9" x14ac:dyDescent="0.2">
      <c r="A47" s="46"/>
      <c r="B47" s="46"/>
      <c r="C47" s="46"/>
      <c r="D47" s="46"/>
      <c r="E47" s="29"/>
      <c r="F47" s="20" t="s">
        <v>43</v>
      </c>
      <c r="G47" s="16"/>
      <c r="H47" s="16"/>
      <c r="I47" s="17">
        <f>Tabela11138304254[[#This Row],[Custo Projetado]]-Tabela11138304254[[#This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29"/>
      <c r="F48" s="13" t="s">
        <v>68</v>
      </c>
      <c r="G48" s="16">
        <f>SUBTOTAL(109,Tabela11138304254[Custo Projetado])</f>
        <v>0</v>
      </c>
      <c r="H48" s="16">
        <f>SUBTOTAL(109,Tabela11138304254[Custo Real])</f>
        <v>0</v>
      </c>
      <c r="I48" s="19">
        <f>SUBTOTAL(109,Tabela11138304254[Diferença])</f>
        <v>0</v>
      </c>
    </row>
    <row r="49" spans="1:9" x14ac:dyDescent="0.2">
      <c r="A49" s="20" t="s">
        <v>20</v>
      </c>
      <c r="B49" s="16"/>
      <c r="C49" s="16"/>
      <c r="D49" s="17">
        <f>Tabela6137294153[[#This Row],[Custo Projetado]]-Tabela6137294153[[#This Row],[Custo Real]]</f>
        <v>0</v>
      </c>
      <c r="E49" s="29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Tabela6137294153[[#This Row],[Custo Projetado]]-Tabela6137294153[[#This Row],[Custo Real]]</f>
        <v>0</v>
      </c>
      <c r="E50" s="29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Tabela6137294153[[#This Row],[Custo Projetado]]-Tabela6137294153[[#This Row],[Custo Real]]</f>
        <v>0</v>
      </c>
      <c r="E51" s="29"/>
      <c r="F51" s="20" t="s">
        <v>37</v>
      </c>
      <c r="G51" s="16"/>
      <c r="H51" s="16"/>
      <c r="I51" s="17">
        <f>Tabela12136284052[[#This Row],[Custo Projetado]]-Tabela12136284052[[#This Row],[Custo Real]]</f>
        <v>0</v>
      </c>
    </row>
    <row r="52" spans="1:9" x14ac:dyDescent="0.2">
      <c r="A52" s="20" t="s">
        <v>21</v>
      </c>
      <c r="B52" s="16"/>
      <c r="C52" s="16"/>
      <c r="D52" s="17">
        <f>Tabela6137294153[[#This Row],[Custo Projetado]]-Tabela6137294153[[#This Row],[Custo Real]]</f>
        <v>0</v>
      </c>
      <c r="E52" s="29"/>
      <c r="F52" s="20" t="s">
        <v>38</v>
      </c>
      <c r="G52" s="16"/>
      <c r="H52" s="16"/>
      <c r="I52" s="17">
        <f>Tabela12136284052[[#This Row],[Custo Projetado]]-Tabela12136284052[[#This Row],[Custo Real]]</f>
        <v>0</v>
      </c>
    </row>
    <row r="53" spans="1:9" x14ac:dyDescent="0.2">
      <c r="A53" s="20" t="s">
        <v>12</v>
      </c>
      <c r="B53" s="16"/>
      <c r="C53" s="16"/>
      <c r="D53" s="17">
        <f>Tabela6137294153[[#This Row],[Custo Projetado]]-Tabela6137294153[[#This Row],[Custo Real]]</f>
        <v>0</v>
      </c>
      <c r="E53" s="29"/>
      <c r="F53" s="20" t="s">
        <v>44</v>
      </c>
      <c r="G53" s="16"/>
      <c r="H53" s="16"/>
      <c r="I53" s="17">
        <f>Tabela12136284052[[#This Row],[Custo Projetado]]-Tabela12136284052[[#This Row],[Custo Real]]</f>
        <v>0</v>
      </c>
    </row>
    <row r="54" spans="1:9" x14ac:dyDescent="0.2">
      <c r="A54" s="13" t="s">
        <v>68</v>
      </c>
      <c r="B54" s="16">
        <f>SUBTOTAL(109,Tabela6137294153[Custo Projetado])</f>
        <v>0</v>
      </c>
      <c r="C54" s="16">
        <f>SUBTOTAL(109,Tabela6137294153[Custo Real])</f>
        <v>0</v>
      </c>
      <c r="D54" s="19">
        <f>SUBTOTAL(109,Tabela6137294153[Diferença])</f>
        <v>0</v>
      </c>
      <c r="E54" s="29"/>
      <c r="F54" s="20" t="s">
        <v>12</v>
      </c>
      <c r="G54" s="16"/>
      <c r="H54" s="16"/>
      <c r="I54" s="17">
        <f>Tabela12136284052[[#This Row],[Custo Projetado]]-Tabela12136284052[[#This Row],[Custo Real]]</f>
        <v>0</v>
      </c>
    </row>
    <row r="55" spans="1:9" x14ac:dyDescent="0.2">
      <c r="A55" s="46"/>
      <c r="B55" s="46"/>
      <c r="C55" s="46"/>
      <c r="D55" s="46"/>
      <c r="E55" s="29"/>
      <c r="F55" s="13" t="s">
        <v>68</v>
      </c>
      <c r="G55" s="16">
        <f>SUBTOTAL(109,Tabela12136284052[Custo Projetado])</f>
        <v>0</v>
      </c>
      <c r="H55" s="16">
        <f>SUBTOTAL(109,Tabela12136284052[Custo Real])</f>
        <v>0</v>
      </c>
      <c r="I55" s="19">
        <f>SUBTOTAL(109,Tabela12136284052[Diferença])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Tabela7144364860[[#This Row],[Custo Projetado]]-Tabela7144364860[[#This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5403</v>
      </c>
    </row>
    <row r="58" spans="1:9" x14ac:dyDescent="0.2">
      <c r="A58" s="20" t="s">
        <v>25</v>
      </c>
      <c r="B58" s="16">
        <v>100</v>
      </c>
      <c r="C58" s="16"/>
      <c r="D58" s="17">
        <f>Tabela7144364860[[#This Row],[Custo Projetado]]-Tabela7144364860[[#This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Tabela7144364860[[#This Row],[Custo Projetado]]-Tabela7144364860[[#This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Tabela7144364860[[#This Row],[Custo Projetado]]-Tabela7144364860[[#This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Tabela7144364860[[#This Row],[Custo Projetado]]-Tabela7144364860[[#This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5403</v>
      </c>
    </row>
    <row r="62" spans="1:9" x14ac:dyDescent="0.2">
      <c r="A62" s="20" t="s">
        <v>81</v>
      </c>
      <c r="B62" s="16">
        <v>470</v>
      </c>
      <c r="C62" s="16"/>
      <c r="D62" s="17">
        <f>Tabela7144364860[[#This Row],[Custo Projetado]]-Tabela7144364860[[#This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Tabela7144364860[[#This Row],[Custo Projetado]]-Tabela7144364860[[#This Row],[Custo Real]]</f>
        <v>0</v>
      </c>
    </row>
    <row r="64" spans="1:9" x14ac:dyDescent="0.2">
      <c r="A64" s="13" t="s">
        <v>68</v>
      </c>
      <c r="B64" s="16">
        <f>SUBTOTAL(109,Tabela7144364860[Custo Projetado])</f>
        <v>720</v>
      </c>
      <c r="C64" s="16">
        <f>SUBTOTAL(109,Tabela7144364860[Custo Real])</f>
        <v>0</v>
      </c>
      <c r="D64" s="19">
        <f>SUBTOTAL(109,Tabela7144364860[Diferença])</f>
        <v>720</v>
      </c>
    </row>
  </sheetData>
  <mergeCells count="33"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  <mergeCell ref="A41:D41"/>
    <mergeCell ref="A6:A8"/>
    <mergeCell ref="B6:C6"/>
    <mergeCell ref="B7:C7"/>
    <mergeCell ref="F7:H8"/>
    <mergeCell ref="F21:I21"/>
    <mergeCell ref="A22:D22"/>
    <mergeCell ref="F30:I30"/>
    <mergeCell ref="A34:D34"/>
    <mergeCell ref="F37:I37"/>
    <mergeCell ref="A47:D47"/>
    <mergeCell ref="F49:I49"/>
    <mergeCell ref="A55:D55"/>
    <mergeCell ref="F56:I56"/>
    <mergeCell ref="F57:H58"/>
    <mergeCell ref="I57:I58"/>
    <mergeCell ref="F59:H60"/>
    <mergeCell ref="I59:I60"/>
    <mergeCell ref="F61:H62"/>
    <mergeCell ref="I61:I62"/>
    <mergeCell ref="F43:I43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79F20-79AC-45B0-AAB8-CDBE4F1ABD46}">
  <dimension ref="A1:I64"/>
  <sheetViews>
    <sheetView topLeftCell="A4" workbookViewId="0">
      <selection activeCell="B21" sqref="B21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1765.46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30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-1765.46</v>
      </c>
    </row>
    <row r="8" spans="1:9" x14ac:dyDescent="0.2">
      <c r="A8" s="39"/>
      <c r="B8" s="44" t="s">
        <v>42</v>
      </c>
      <c r="C8" s="45"/>
      <c r="D8" s="30">
        <f>SUM(D6:D7)</f>
        <v>0</v>
      </c>
      <c r="E8" s="2"/>
      <c r="F8" s="42"/>
      <c r="G8" s="42"/>
      <c r="H8" s="42"/>
      <c r="I8" s="43"/>
    </row>
    <row r="9" spans="1:9" x14ac:dyDescent="0.2">
      <c r="A9" s="31"/>
      <c r="B9" s="31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Tabela113426385086[[#This Row],[Custo Projetado]]-Tabela113426385086[[#This Row],[Custo Real]]</f>
        <v>1900</v>
      </c>
      <c r="E11" s="29"/>
      <c r="F11" s="20" t="s">
        <v>28</v>
      </c>
      <c r="G11" s="16">
        <v>0</v>
      </c>
      <c r="H11" s="16"/>
      <c r="I11" s="17">
        <f>Tabela214537496197[[#This Row],[Custo Projetado]]-Tabela214537496197[[#This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Tabela113426385086[[#This Row],[Custo Projetado]]-Tabela113426385086[[#This Row],[Custo Real]]</f>
        <v>100</v>
      </c>
      <c r="E12" s="29"/>
      <c r="F12" s="20" t="s">
        <v>29</v>
      </c>
      <c r="G12" s="16"/>
      <c r="H12" s="16"/>
      <c r="I12" s="17">
        <f>Tabela214537496197[[#This Row],[Custo Projetado]]-Tabela214537496197[[#This Row],[Custo Real]]</f>
        <v>0</v>
      </c>
    </row>
    <row r="13" spans="1:9" x14ac:dyDescent="0.2">
      <c r="A13" s="20" t="s">
        <v>46</v>
      </c>
      <c r="B13" s="16"/>
      <c r="C13" s="16"/>
      <c r="D13" s="17">
        <f>Tabela113426385086[[#This Row],[Custo Projetado]]-Tabela113426385086[[#This Row],[Custo Real]]</f>
        <v>0</v>
      </c>
      <c r="E13" s="29"/>
      <c r="F13" s="20" t="s">
        <v>30</v>
      </c>
      <c r="G13" s="16"/>
      <c r="H13" s="16"/>
      <c r="I13" s="17">
        <f>Tabela214537496197[[#This Row],[Custo Projetado]]-Tabela214537496197[[#This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Tabela113426385086[[#This Row],[Custo Projetado]]-Tabela113426385086[[#This Row],[Custo Real]]</f>
        <v>400</v>
      </c>
      <c r="E14" s="29"/>
      <c r="F14" s="20" t="s">
        <v>31</v>
      </c>
      <c r="G14" s="16"/>
      <c r="H14" s="16"/>
      <c r="I14" s="17">
        <f>Tabela214537496197[[#This Row],[Custo Projetado]]-Tabela214537496197[[#This Row],[Custo Real]]</f>
        <v>0</v>
      </c>
    </row>
    <row r="15" spans="1:9" x14ac:dyDescent="0.2">
      <c r="A15" s="20" t="s">
        <v>7</v>
      </c>
      <c r="B15" s="16"/>
      <c r="C15" s="16"/>
      <c r="D15" s="17">
        <f>Tabela113426385086[[#This Row],[Custo Projetado]]-Tabela113426385086[[#This Row],[Custo Real]]</f>
        <v>0</v>
      </c>
      <c r="E15" s="29"/>
      <c r="F15" s="20" t="s">
        <v>47</v>
      </c>
      <c r="G15" s="16">
        <v>150</v>
      </c>
      <c r="H15" s="16"/>
      <c r="I15" s="17">
        <f>Tabela214537496197[[#This Row],[Custo Projetado]]-Tabela214537496197[[#This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Tabela113426385086[[#This Row],[Custo Projetado]]-Tabela113426385086[[#This Row],[Custo Real]]</f>
        <v>0</v>
      </c>
      <c r="E16" s="29"/>
      <c r="F16" s="20" t="s">
        <v>32</v>
      </c>
      <c r="G16" s="16"/>
      <c r="H16" s="16"/>
      <c r="I16" s="17">
        <f>Tabela214537496197[[#This Row],[Custo Projetado]]-Tabela214537496197[[#This Row],[Custo Real]]</f>
        <v>0</v>
      </c>
    </row>
    <row r="17" spans="1:9" x14ac:dyDescent="0.2">
      <c r="A17" s="20" t="s">
        <v>9</v>
      </c>
      <c r="B17" s="16"/>
      <c r="C17" s="16"/>
      <c r="D17" s="17">
        <f>Tabela113426385086[[#This Row],[Custo Projetado]]-Tabela113426385086[[#This Row],[Custo Real]]</f>
        <v>0</v>
      </c>
      <c r="E17" s="29"/>
      <c r="F17" s="20" t="s">
        <v>12</v>
      </c>
      <c r="G17" s="16"/>
      <c r="H17" s="16"/>
      <c r="I17" s="17">
        <f>Tabela214537496197[[#This Row],[Custo Projetado]]-Tabela214537496197[[#This Row],[Custo Real]]</f>
        <v>0</v>
      </c>
    </row>
    <row r="18" spans="1:9" x14ac:dyDescent="0.2">
      <c r="A18" s="20" t="s">
        <v>10</v>
      </c>
      <c r="B18" s="16"/>
      <c r="C18" s="16"/>
      <c r="D18" s="17">
        <f>Tabela113426385086[[#This Row],[Custo Projetado]]-Tabela113426385086[[#This Row],[Custo Real]]</f>
        <v>0</v>
      </c>
      <c r="E18" s="29"/>
      <c r="F18" s="20" t="s">
        <v>12</v>
      </c>
      <c r="G18" s="16"/>
      <c r="H18" s="16"/>
      <c r="I18" s="17">
        <f>Tabela214537496197[[#This Row],[Custo Projetado]]-Tabela214537496197[[#This Row],[Custo Real]]</f>
        <v>0</v>
      </c>
    </row>
    <row r="19" spans="1:9" x14ac:dyDescent="0.2">
      <c r="A19" s="20" t="s">
        <v>11</v>
      </c>
      <c r="B19" s="16"/>
      <c r="C19" s="16"/>
      <c r="D19" s="17">
        <f>Tabela113426385086[[#This Row],[Custo Projetado]]-Tabela113426385086[[#This Row],[Custo Real]]</f>
        <v>0</v>
      </c>
      <c r="E19" s="29"/>
      <c r="F19" s="20" t="s">
        <v>12</v>
      </c>
      <c r="G19" s="16"/>
      <c r="H19" s="16"/>
      <c r="I19" s="17">
        <f>Tabela214537496197[[#This Row],[Custo Projetado]]-Tabela214537496197[[#This Row],[Custo Real]]</f>
        <v>0</v>
      </c>
    </row>
    <row r="20" spans="1:9" x14ac:dyDescent="0.2">
      <c r="A20" s="20" t="s">
        <v>38</v>
      </c>
      <c r="B20" s="16">
        <v>1800</v>
      </c>
      <c r="C20" s="16"/>
      <c r="D20" s="17">
        <f>Tabela113426385086[[#This Row],[Custo Projetado]]-Tabela113426385086[[#This Row],[Custo Real]]</f>
        <v>1800</v>
      </c>
      <c r="E20" s="29"/>
      <c r="F20" s="13" t="s">
        <v>68</v>
      </c>
      <c r="G20" s="18">
        <f>SUBTOTAL(109,Tabela214537496197[Custo Projetado])</f>
        <v>150</v>
      </c>
      <c r="H20" s="16">
        <f>SUBTOTAL(109,Tabela214537496197[Custo Real])</f>
        <v>0</v>
      </c>
      <c r="I20" s="19">
        <f>SUBTOTAL(109,Tabela214537496197[Diferença])</f>
        <v>150</v>
      </c>
    </row>
    <row r="21" spans="1:9" x14ac:dyDescent="0.2">
      <c r="A21" s="13" t="s">
        <v>68</v>
      </c>
      <c r="B21" s="16">
        <f>SUBTOTAL(109,Tabela113426385086[Custo Projetado])</f>
        <v>4200</v>
      </c>
      <c r="C21" s="16">
        <f>SUBTOTAL(109,Tabela113426385086[Custo Real])</f>
        <v>0</v>
      </c>
      <c r="D21" s="19">
        <f>SUBTOTAL(109,Tabela113426385086[Diferença])</f>
        <v>4200</v>
      </c>
      <c r="E21" s="29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29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29"/>
      <c r="F23" s="20" t="s">
        <v>79</v>
      </c>
      <c r="G23" s="16"/>
      <c r="H23" s="16"/>
      <c r="I23" s="17">
        <f>Tabela814234465894[[#This Row],[Custo Projetado]]-Tabela814234465894[[#This Row],[Custo Real]]</f>
        <v>0</v>
      </c>
    </row>
    <row r="24" spans="1:9" x14ac:dyDescent="0.2">
      <c r="A24" s="20" t="s">
        <v>72</v>
      </c>
      <c r="B24" s="16"/>
      <c r="C24" s="16"/>
      <c r="D24" s="17">
        <f>Tabela314133455793[[#This Row],[Custo Projetado]]-Tabela314133455793[[#This Row],[Custo Real]]</f>
        <v>0</v>
      </c>
      <c r="E24" s="29"/>
      <c r="F24" s="20" t="s">
        <v>39</v>
      </c>
      <c r="G24" s="16"/>
      <c r="H24" s="16"/>
      <c r="I24" s="17">
        <f>Tabela814234465894[[#This Row],[Custo Projetado]]-Tabela814234465894[[#This Row],[Custo Real]]</f>
        <v>0</v>
      </c>
    </row>
    <row r="25" spans="1:9" x14ac:dyDescent="0.2">
      <c r="A25" s="20" t="s">
        <v>45</v>
      </c>
      <c r="B25" s="16"/>
      <c r="C25" s="16"/>
      <c r="D25" s="17">
        <f>Tabela314133455793[[#This Row],[Custo Projetado]]-Tabela314133455793[[#This Row],[Custo Real]]</f>
        <v>0</v>
      </c>
      <c r="E25" s="29"/>
      <c r="F25" s="20" t="s">
        <v>48</v>
      </c>
      <c r="G25" s="16">
        <v>343.54</v>
      </c>
      <c r="H25" s="16"/>
      <c r="I25" s="17">
        <f>Tabela814234465894[[#This Row],[Custo Projetado]]-Tabela814234465894[[#This Row],[Custo Real]]</f>
        <v>343.54</v>
      </c>
    </row>
    <row r="26" spans="1:9" x14ac:dyDescent="0.2">
      <c r="A26" s="20" t="s">
        <v>13</v>
      </c>
      <c r="B26" s="16">
        <v>85</v>
      </c>
      <c r="C26" s="16"/>
      <c r="D26" s="17">
        <f>Tabela314133455793[[#This Row],[Custo Projetado]]-Tabela314133455793[[#This Row],[Custo Real]]</f>
        <v>85</v>
      </c>
      <c r="E26" s="29"/>
      <c r="F26" s="20" t="s">
        <v>80</v>
      </c>
      <c r="G26" s="16">
        <v>650</v>
      </c>
      <c r="H26" s="16"/>
      <c r="I26" s="17">
        <f>Tabela814234465894[[#This Row],[Custo Projetado]]-Tabela814234465894[[#This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Tabela314133455793[[#This Row],[Custo Projetado]]-Tabela314133455793[[#This Row],[Custo Real]]</f>
        <v>86</v>
      </c>
      <c r="E27" s="29"/>
      <c r="F27" s="20" t="s">
        <v>48</v>
      </c>
      <c r="G27" s="16"/>
      <c r="H27" s="16"/>
      <c r="I27" s="17">
        <f>Tabela814234465894[[#This Row],[Custo Projetado]]-Tabela814234465894[[#This Row],[Custo Real]]</f>
        <v>0</v>
      </c>
    </row>
    <row r="28" spans="1:9" x14ac:dyDescent="0.2">
      <c r="A28" s="20" t="s">
        <v>75</v>
      </c>
      <c r="B28" s="24"/>
      <c r="C28" s="24"/>
      <c r="D28" s="25">
        <f>Tabela314133455793[[#This Row],[Custo Projetado]]-Tabela314133455793[[#This Row],[Custo Real]]</f>
        <v>0</v>
      </c>
      <c r="E28" s="29"/>
      <c r="F28" s="20" t="s">
        <v>12</v>
      </c>
      <c r="G28" s="16"/>
      <c r="H28" s="16"/>
      <c r="I28" s="17">
        <f>Tabela814234465894[[#This Row],[Custo Projetado]]-Tabela814234465894[[#This Row],[Custo Real]]</f>
        <v>0</v>
      </c>
    </row>
    <row r="29" spans="1:9" x14ac:dyDescent="0.2">
      <c r="A29" s="20" t="s">
        <v>14</v>
      </c>
      <c r="B29" s="16"/>
      <c r="C29" s="16"/>
      <c r="D29" s="17">
        <f>Tabela314133455793[[#This Row],[Custo Projetado]]-Tabela314133455793[[#This Row],[Custo Real]]</f>
        <v>0</v>
      </c>
      <c r="E29" s="29"/>
      <c r="F29" s="13" t="s">
        <v>68</v>
      </c>
      <c r="G29" s="16">
        <f>SUBTOTAL(109,Tabela814234465894[Custo Projetado])</f>
        <v>993.54</v>
      </c>
      <c r="H29" s="16">
        <f>SUBTOTAL(109,Tabela814234465894[Custo Real])</f>
        <v>0</v>
      </c>
      <c r="I29" s="19">
        <f>SUBTOTAL(109,Tabela814234465894[Diferença])</f>
        <v>993.54</v>
      </c>
    </row>
    <row r="30" spans="1:9" x14ac:dyDescent="0.2">
      <c r="A30" s="20" t="s">
        <v>15</v>
      </c>
      <c r="B30" s="16"/>
      <c r="C30" s="16"/>
      <c r="D30" s="17">
        <f>Tabela314133455793[[#This Row],[Custo Projetado]]-Tabela314133455793[[#This Row],[Custo Real]]</f>
        <v>0</v>
      </c>
      <c r="E30" s="29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Tabela314133455793[[#This Row],[Custo Projetado]]-Tabela314133455793[[#This Row],[Custo Real]]</f>
        <v>200</v>
      </c>
      <c r="E31" s="29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Tabela314133455793[[#This Row],[Custo Projetado]]-Tabela314133455793[[#This Row],[Custo Real]]</f>
        <v>0</v>
      </c>
      <c r="E32" s="29"/>
      <c r="F32" s="20" t="s">
        <v>34</v>
      </c>
      <c r="G32" s="16"/>
      <c r="H32" s="16"/>
      <c r="I32" s="17">
        <f>Tabela914032445692[[#This Row],[Custo Projetado]]-Tabela914032445692[[#This Row],[Custo Real]]</f>
        <v>0</v>
      </c>
    </row>
    <row r="33" spans="1:9" x14ac:dyDescent="0.2">
      <c r="A33" s="26" t="s">
        <v>68</v>
      </c>
      <c r="B33" s="27">
        <f>SUBTOTAL(109,Tabela314133455793[Custo Projetado])</f>
        <v>371</v>
      </c>
      <c r="C33" s="27">
        <f>SUBTOTAL(109,Tabela314133455793[Custo Real])</f>
        <v>0</v>
      </c>
      <c r="D33" s="28">
        <f>SUBTOTAL(109,Tabela314133455793[Diferença])</f>
        <v>371</v>
      </c>
      <c r="E33" s="29"/>
      <c r="F33" s="20" t="s">
        <v>35</v>
      </c>
      <c r="G33" s="16"/>
      <c r="H33" s="16"/>
      <c r="I33" s="17">
        <f>Tabela914032445692[[#This Row],[Custo Projetado]]-Tabela914032445692[[#This Row],[Custo Real]]</f>
        <v>0</v>
      </c>
    </row>
    <row r="34" spans="1:9" x14ac:dyDescent="0.2">
      <c r="A34" s="46"/>
      <c r="B34" s="46"/>
      <c r="C34" s="46"/>
      <c r="D34" s="46"/>
      <c r="E34" s="29"/>
      <c r="F34" s="20" t="s">
        <v>36</v>
      </c>
      <c r="G34" s="16"/>
      <c r="H34" s="16"/>
      <c r="I34" s="17">
        <f>Tabela914032445692[[#This Row],[Custo Projetado]]-Tabela914032445692[[#This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29"/>
      <c r="F35" s="20" t="s">
        <v>12</v>
      </c>
      <c r="G35" s="16"/>
      <c r="H35" s="16"/>
      <c r="I35" s="17">
        <f>Tabela914032445692[[#This Row],[Custo Projetado]]-Tabela914032445692[[#This Row],[Custo Real]]</f>
        <v>0</v>
      </c>
    </row>
    <row r="36" spans="1:9" x14ac:dyDescent="0.2">
      <c r="A36" s="20" t="s">
        <v>16</v>
      </c>
      <c r="B36" s="16"/>
      <c r="C36" s="16"/>
      <c r="D36" s="17">
        <f>Tabela413527395187[[#This Row],[Custo Projetado]]-Tabela413527395187[[#This Row],[Custo Real]]</f>
        <v>0</v>
      </c>
      <c r="E36" s="29"/>
      <c r="F36" s="13" t="s">
        <v>68</v>
      </c>
      <c r="G36" s="16">
        <f>SUBTOTAL(109,Tabela914032445692[Custo Projetado])</f>
        <v>0</v>
      </c>
      <c r="H36" s="16">
        <f>SUBTOTAL(109,Tabela914032445692[Custo Real])</f>
        <v>0</v>
      </c>
      <c r="I36" s="19">
        <f>SUBTOTAL(109,Tabela914032445692[Diferença])</f>
        <v>0</v>
      </c>
    </row>
    <row r="37" spans="1:9" x14ac:dyDescent="0.2">
      <c r="A37" s="20" t="s">
        <v>17</v>
      </c>
      <c r="B37" s="16"/>
      <c r="C37" s="16"/>
      <c r="D37" s="17">
        <f>Tabela413527395187[[#This Row],[Custo Projetado]]-Tabela413527395187[[#This Row],[Custo Real]]</f>
        <v>0</v>
      </c>
      <c r="E37" s="29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Tabela413527395187[[#This Row],[Custo Projetado]]-Tabela413527395187[[#This Row],[Custo Real]]</f>
        <v>0</v>
      </c>
      <c r="E38" s="29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Tabela413527395187[[#This Row],[Custo Projetado]]-Tabela413527395187[[#This Row],[Custo Real]]</f>
        <v>0</v>
      </c>
      <c r="E39" s="29"/>
      <c r="F39" s="20" t="s">
        <v>49</v>
      </c>
      <c r="G39" s="16"/>
      <c r="H39" s="16"/>
      <c r="I39" s="17">
        <f>Tabela1014335475995[[#This Row],[Custo Projetado]]-Tabela1014335475995[[#This Row],[Custo Real]]</f>
        <v>0</v>
      </c>
    </row>
    <row r="40" spans="1:9" x14ac:dyDescent="0.2">
      <c r="A40" s="13" t="s">
        <v>68</v>
      </c>
      <c r="B40" s="16">
        <f>SUBTOTAL(109,Tabela413527395187[Custo Projetado])</f>
        <v>0</v>
      </c>
      <c r="C40" s="16">
        <f>SUBTOTAL(109,Tabela413527395187[Custo Real])</f>
        <v>0</v>
      </c>
      <c r="D40" s="19">
        <f>SUBTOTAL(109,Tabela413527395187[Diferença])</f>
        <v>0</v>
      </c>
      <c r="E40" s="29"/>
      <c r="F40" s="20" t="s">
        <v>50</v>
      </c>
      <c r="G40" s="16"/>
      <c r="H40" s="16"/>
      <c r="I40" s="17">
        <f>Tabela1014335475995[[#This Row],[Custo Projetado]]-Tabela1014335475995[[#This Row],[Custo Real]]</f>
        <v>0</v>
      </c>
    </row>
    <row r="41" spans="1:9" x14ac:dyDescent="0.2">
      <c r="A41" s="46"/>
      <c r="B41" s="46"/>
      <c r="C41" s="46"/>
      <c r="D41" s="46"/>
      <c r="E41" s="29"/>
      <c r="F41" s="20" t="s">
        <v>12</v>
      </c>
      <c r="G41" s="16"/>
      <c r="H41" s="16"/>
      <c r="I41" s="17">
        <f>Tabela1014335475995[[#This Row],[Custo Projetado]]-Tabela1014335475995[[#This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29"/>
      <c r="F42" s="13" t="s">
        <v>68</v>
      </c>
      <c r="G42" s="16">
        <f>SUBTOTAL(109,Tabela1014335475995[Custo Projetado])</f>
        <v>0</v>
      </c>
      <c r="H42" s="16">
        <f>SUBTOTAL(109,Tabela1014335475995[Custo Real])</f>
        <v>0</v>
      </c>
      <c r="I42" s="19">
        <f>SUBTOTAL(109,Tabela1014335475995[Diferença])</f>
        <v>0</v>
      </c>
    </row>
    <row r="43" spans="1:9" x14ac:dyDescent="0.2">
      <c r="A43" s="20" t="s">
        <v>19</v>
      </c>
      <c r="B43" s="16"/>
      <c r="C43" s="16"/>
      <c r="D43" s="17">
        <f>Tabela513931435591[[#This Row],[Custo Projetado]]-Tabela513931435591[[#This Row],[Custo Real]]</f>
        <v>0</v>
      </c>
      <c r="E43" s="29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Tabela513931435591[[#This Row],[Custo Projetado]]-Tabela513931435591[[#This Row],[Custo Real]]</f>
        <v>400</v>
      </c>
      <c r="E44" s="29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Tabela513931435591[[#This Row],[Custo Projetado]]-Tabela513931435591[[#This Row],[Custo Real]]</f>
        <v>0</v>
      </c>
      <c r="E45" s="29"/>
      <c r="F45" s="20" t="s">
        <v>73</v>
      </c>
      <c r="G45" s="16"/>
      <c r="H45" s="16"/>
      <c r="I45" s="17">
        <f>Tabela1113830425490[[#This Row],[Custo Projetado]]-Tabela1113830425490[[#This Row],[Custo Real]]</f>
        <v>0</v>
      </c>
    </row>
    <row r="46" spans="1:9" x14ac:dyDescent="0.2">
      <c r="A46" s="13" t="s">
        <v>68</v>
      </c>
      <c r="B46" s="16">
        <f>SUBTOTAL(109,Tabela513931435591[Custo Projetado])</f>
        <v>400</v>
      </c>
      <c r="C46" s="16">
        <f>SUBTOTAL(109,Tabela513931435591[Custo Real])</f>
        <v>0</v>
      </c>
      <c r="D46" s="19">
        <f>SUBTOTAL(109,Tabela513931435591[Diferença])</f>
        <v>400</v>
      </c>
      <c r="E46" s="29"/>
      <c r="F46" s="20" t="s">
        <v>74</v>
      </c>
      <c r="G46" s="16"/>
      <c r="H46" s="16"/>
      <c r="I46" s="17">
        <f>Tabela1113830425490[[#This Row],[Custo Projetado]]-Tabela1113830425490[[#This Row],[Custo Real]]</f>
        <v>0</v>
      </c>
    </row>
    <row r="47" spans="1:9" x14ac:dyDescent="0.2">
      <c r="A47" s="46"/>
      <c r="B47" s="46"/>
      <c r="C47" s="46"/>
      <c r="D47" s="46"/>
      <c r="E47" s="29"/>
      <c r="F47" s="20" t="s">
        <v>43</v>
      </c>
      <c r="G47" s="16"/>
      <c r="H47" s="16"/>
      <c r="I47" s="17">
        <f>Tabela1113830425490[[#This Row],[Custo Projetado]]-Tabela1113830425490[[#This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29"/>
      <c r="F48" s="13" t="s">
        <v>68</v>
      </c>
      <c r="G48" s="16">
        <f>SUBTOTAL(109,Tabela1113830425490[Custo Projetado])</f>
        <v>0</v>
      </c>
      <c r="H48" s="16">
        <f>SUBTOTAL(109,Tabela1113830425490[Custo Real])</f>
        <v>0</v>
      </c>
      <c r="I48" s="19">
        <f>SUBTOTAL(109,Tabela1113830425490[Diferença])</f>
        <v>0</v>
      </c>
    </row>
    <row r="49" spans="1:9" x14ac:dyDescent="0.2">
      <c r="A49" s="20" t="s">
        <v>20</v>
      </c>
      <c r="B49" s="16"/>
      <c r="C49" s="16"/>
      <c r="D49" s="17">
        <f>Tabela613729415389[[#This Row],[Custo Projetado]]-Tabela613729415389[[#This Row],[Custo Real]]</f>
        <v>0</v>
      </c>
      <c r="E49" s="29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Tabela613729415389[[#This Row],[Custo Projetado]]-Tabela613729415389[[#This Row],[Custo Real]]</f>
        <v>0</v>
      </c>
      <c r="E50" s="29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Tabela613729415389[[#This Row],[Custo Projetado]]-Tabela613729415389[[#This Row],[Custo Real]]</f>
        <v>0</v>
      </c>
      <c r="E51" s="29"/>
      <c r="F51" s="20" t="s">
        <v>37</v>
      </c>
      <c r="G51" s="16"/>
      <c r="H51" s="16"/>
      <c r="I51" s="17">
        <f>Tabela1213628405288[[#This Row],[Custo Projetado]]-Tabela1213628405288[[#This Row],[Custo Real]]</f>
        <v>0</v>
      </c>
    </row>
    <row r="52" spans="1:9" x14ac:dyDescent="0.2">
      <c r="A52" s="20" t="s">
        <v>21</v>
      </c>
      <c r="B52" s="16"/>
      <c r="C52" s="16"/>
      <c r="D52" s="17">
        <f>Tabela613729415389[[#This Row],[Custo Projetado]]-Tabela613729415389[[#This Row],[Custo Real]]</f>
        <v>0</v>
      </c>
      <c r="E52" s="29"/>
      <c r="F52" s="20" t="s">
        <v>38</v>
      </c>
      <c r="G52" s="16"/>
      <c r="H52" s="16"/>
      <c r="I52" s="17">
        <f>Tabela1213628405288[[#This Row],[Custo Projetado]]-Tabela1213628405288[[#This Row],[Custo Real]]</f>
        <v>0</v>
      </c>
    </row>
    <row r="53" spans="1:9" x14ac:dyDescent="0.2">
      <c r="A53" s="20" t="s">
        <v>12</v>
      </c>
      <c r="B53" s="16"/>
      <c r="C53" s="16"/>
      <c r="D53" s="17">
        <f>Tabela613729415389[[#This Row],[Custo Projetado]]-Tabela613729415389[[#This Row],[Custo Real]]</f>
        <v>0</v>
      </c>
      <c r="E53" s="29"/>
      <c r="F53" s="20" t="s">
        <v>44</v>
      </c>
      <c r="G53" s="16"/>
      <c r="H53" s="16"/>
      <c r="I53" s="17">
        <f>Tabela1213628405288[[#This Row],[Custo Projetado]]-Tabela1213628405288[[#This Row],[Custo Real]]</f>
        <v>0</v>
      </c>
    </row>
    <row r="54" spans="1:9" x14ac:dyDescent="0.2">
      <c r="A54" s="13" t="s">
        <v>68</v>
      </c>
      <c r="B54" s="16">
        <f>SUBTOTAL(109,Tabela613729415389[Custo Projetado])</f>
        <v>0</v>
      </c>
      <c r="C54" s="16">
        <f>SUBTOTAL(109,Tabela613729415389[Custo Real])</f>
        <v>0</v>
      </c>
      <c r="D54" s="19">
        <f>SUBTOTAL(109,Tabela613729415389[Diferença])</f>
        <v>0</v>
      </c>
      <c r="E54" s="29"/>
      <c r="F54" s="20" t="s">
        <v>12</v>
      </c>
      <c r="G54" s="16"/>
      <c r="H54" s="16"/>
      <c r="I54" s="17">
        <f>Tabela1213628405288[[#This Row],[Custo Projetado]]-Tabela1213628405288[[#This Row],[Custo Real]]</f>
        <v>0</v>
      </c>
    </row>
    <row r="55" spans="1:9" x14ac:dyDescent="0.2">
      <c r="A55" s="46"/>
      <c r="B55" s="46"/>
      <c r="C55" s="46"/>
      <c r="D55" s="46"/>
      <c r="E55" s="29"/>
      <c r="F55" s="13" t="s">
        <v>68</v>
      </c>
      <c r="G55" s="16">
        <f>SUBTOTAL(109,Tabela1213628405288[Custo Projetado])</f>
        <v>0</v>
      </c>
      <c r="H55" s="16">
        <f>SUBTOTAL(109,Tabela1213628405288[Custo Real])</f>
        <v>0</v>
      </c>
      <c r="I55" s="19">
        <f>SUBTOTAL(109,Tabela1213628405288[Diferença])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Tabela714436486096[[#This Row],[Custo Projetado]]-Tabela714436486096[[#This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6834.54</v>
      </c>
    </row>
    <row r="58" spans="1:9" x14ac:dyDescent="0.2">
      <c r="A58" s="20" t="s">
        <v>25</v>
      </c>
      <c r="B58" s="16">
        <v>100</v>
      </c>
      <c r="C58" s="16"/>
      <c r="D58" s="17">
        <f>Tabela714436486096[[#This Row],[Custo Projetado]]-Tabela714436486096[[#This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Tabela714436486096[[#This Row],[Custo Projetado]]-Tabela714436486096[[#This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Tabela714436486096[[#This Row],[Custo Projetado]]-Tabela714436486096[[#This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Tabela714436486096[[#This Row],[Custo Projetado]]-Tabela714436486096[[#This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6834.54</v>
      </c>
    </row>
    <row r="62" spans="1:9" x14ac:dyDescent="0.2">
      <c r="A62" s="20" t="s">
        <v>81</v>
      </c>
      <c r="B62" s="16">
        <v>470</v>
      </c>
      <c r="C62" s="16"/>
      <c r="D62" s="17">
        <f>Tabela714436486096[[#This Row],[Custo Projetado]]-Tabela714436486096[[#This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Tabela714436486096[[#This Row],[Custo Projetado]]-Tabela714436486096[[#This Row],[Custo Real]]</f>
        <v>0</v>
      </c>
    </row>
    <row r="64" spans="1:9" x14ac:dyDescent="0.2">
      <c r="A64" s="13" t="s">
        <v>68</v>
      </c>
      <c r="B64" s="16">
        <f>SUBTOTAL(109,Tabela714436486096[Custo Projetado])</f>
        <v>720</v>
      </c>
      <c r="C64" s="16">
        <f>SUBTOTAL(109,Tabela714436486096[Custo Real])</f>
        <v>0</v>
      </c>
      <c r="D64" s="19">
        <f>SUBTOTAL(109,Tabela714436486096[Diferença])</f>
        <v>720</v>
      </c>
    </row>
  </sheetData>
  <mergeCells count="33"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  <mergeCell ref="A41:D41"/>
    <mergeCell ref="A6:A8"/>
    <mergeCell ref="B6:C6"/>
    <mergeCell ref="B7:C7"/>
    <mergeCell ref="F7:H8"/>
    <mergeCell ref="F21:I21"/>
    <mergeCell ref="A22:D22"/>
    <mergeCell ref="F30:I30"/>
    <mergeCell ref="A34:D34"/>
    <mergeCell ref="F37:I37"/>
    <mergeCell ref="A47:D47"/>
    <mergeCell ref="F49:I49"/>
    <mergeCell ref="A55:D55"/>
    <mergeCell ref="F56:I56"/>
    <mergeCell ref="F57:H58"/>
    <mergeCell ref="I57:I58"/>
    <mergeCell ref="F59:H60"/>
    <mergeCell ref="I59:I60"/>
    <mergeCell ref="F61:H62"/>
    <mergeCell ref="I61:I62"/>
    <mergeCell ref="F43:I43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8930-CE62-4C36-926C-FE0F6C3E7411}">
  <dimension ref="A1:I64"/>
  <sheetViews>
    <sheetView topLeftCell="A13" workbookViewId="0">
      <selection activeCell="B20" sqref="B20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1967.5100000000002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30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-1967.5100000000002</v>
      </c>
    </row>
    <row r="8" spans="1:9" x14ac:dyDescent="0.2">
      <c r="A8" s="39"/>
      <c r="B8" s="44" t="s">
        <v>42</v>
      </c>
      <c r="C8" s="45"/>
      <c r="D8" s="30">
        <f>SUM(D6:D7)</f>
        <v>0</v>
      </c>
      <c r="E8" s="2"/>
      <c r="F8" s="42"/>
      <c r="G8" s="42"/>
      <c r="H8" s="42"/>
      <c r="I8" s="43"/>
    </row>
    <row r="9" spans="1:9" x14ac:dyDescent="0.2">
      <c r="A9" s="31"/>
      <c r="B9" s="31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Tabela113426385086146[[#This Row],[Custo Projetado]]-Tabela113426385086146[[#This Row],[Custo Real]]</f>
        <v>1900</v>
      </c>
      <c r="E11" s="29"/>
      <c r="F11" s="20" t="s">
        <v>28</v>
      </c>
      <c r="G11" s="16">
        <v>0</v>
      </c>
      <c r="H11" s="16"/>
      <c r="I11" s="17">
        <f>Tabela214537496197157[[#This Row],[Custo Projetado]]-Tabela214537496197157[[#This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Tabela113426385086146[[#This Row],[Custo Projetado]]-Tabela113426385086146[[#This Row],[Custo Real]]</f>
        <v>100</v>
      </c>
      <c r="E12" s="29"/>
      <c r="F12" s="20" t="s">
        <v>29</v>
      </c>
      <c r="G12" s="16"/>
      <c r="H12" s="16"/>
      <c r="I12" s="17">
        <f>Tabela214537496197157[[#This Row],[Custo Projetado]]-Tabela214537496197157[[#This Row],[Custo Real]]</f>
        <v>0</v>
      </c>
    </row>
    <row r="13" spans="1:9" x14ac:dyDescent="0.2">
      <c r="A13" s="20" t="s">
        <v>46</v>
      </c>
      <c r="B13" s="16"/>
      <c r="C13" s="16"/>
      <c r="D13" s="17">
        <f>Tabela113426385086146[[#This Row],[Custo Projetado]]-Tabela113426385086146[[#This Row],[Custo Real]]</f>
        <v>0</v>
      </c>
      <c r="E13" s="29"/>
      <c r="F13" s="20" t="s">
        <v>30</v>
      </c>
      <c r="G13" s="16"/>
      <c r="H13" s="16"/>
      <c r="I13" s="17">
        <f>Tabela214537496197157[[#This Row],[Custo Projetado]]-Tabela214537496197157[[#This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Tabela113426385086146[[#This Row],[Custo Projetado]]-Tabela113426385086146[[#This Row],[Custo Real]]</f>
        <v>400</v>
      </c>
      <c r="E14" s="29"/>
      <c r="F14" s="20" t="s">
        <v>31</v>
      </c>
      <c r="G14" s="16"/>
      <c r="H14" s="16"/>
      <c r="I14" s="17">
        <f>Tabela214537496197157[[#This Row],[Custo Projetado]]-Tabela214537496197157[[#This Row],[Custo Real]]</f>
        <v>0</v>
      </c>
    </row>
    <row r="15" spans="1:9" x14ac:dyDescent="0.2">
      <c r="A15" s="20" t="s">
        <v>7</v>
      </c>
      <c r="B15" s="16"/>
      <c r="C15" s="16"/>
      <c r="D15" s="17">
        <f>Tabela113426385086146[[#This Row],[Custo Projetado]]-Tabela113426385086146[[#This Row],[Custo Real]]</f>
        <v>0</v>
      </c>
      <c r="E15" s="29"/>
      <c r="F15" s="20" t="s">
        <v>47</v>
      </c>
      <c r="G15" s="16">
        <v>150</v>
      </c>
      <c r="H15" s="16"/>
      <c r="I15" s="17">
        <f>Tabela214537496197157[[#This Row],[Custo Projetado]]-Tabela214537496197157[[#This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Tabela113426385086146[[#This Row],[Custo Projetado]]-Tabela113426385086146[[#This Row],[Custo Real]]</f>
        <v>0</v>
      </c>
      <c r="E16" s="29"/>
      <c r="F16" s="20" t="s">
        <v>32</v>
      </c>
      <c r="G16" s="16"/>
      <c r="H16" s="16"/>
      <c r="I16" s="17">
        <f>Tabela214537496197157[[#This Row],[Custo Projetado]]-Tabela214537496197157[[#This Row],[Custo Real]]</f>
        <v>0</v>
      </c>
    </row>
    <row r="17" spans="1:9" x14ac:dyDescent="0.2">
      <c r="A17" s="20" t="s">
        <v>9</v>
      </c>
      <c r="B17" s="16"/>
      <c r="C17" s="16"/>
      <c r="D17" s="17">
        <f>Tabela113426385086146[[#This Row],[Custo Projetado]]-Tabela113426385086146[[#This Row],[Custo Real]]</f>
        <v>0</v>
      </c>
      <c r="E17" s="29"/>
      <c r="F17" s="20" t="s">
        <v>12</v>
      </c>
      <c r="G17" s="16"/>
      <c r="H17" s="16"/>
      <c r="I17" s="17">
        <f>Tabela214537496197157[[#This Row],[Custo Projetado]]-Tabela214537496197157[[#This Row],[Custo Real]]</f>
        <v>0</v>
      </c>
    </row>
    <row r="18" spans="1:9" x14ac:dyDescent="0.2">
      <c r="A18" s="20" t="s">
        <v>10</v>
      </c>
      <c r="B18" s="16"/>
      <c r="C18" s="16"/>
      <c r="D18" s="17">
        <f>Tabela113426385086146[[#This Row],[Custo Projetado]]-Tabela113426385086146[[#This Row],[Custo Real]]</f>
        <v>0</v>
      </c>
      <c r="E18" s="29"/>
      <c r="F18" s="20" t="s">
        <v>12</v>
      </c>
      <c r="G18" s="16"/>
      <c r="H18" s="16"/>
      <c r="I18" s="17">
        <f>Tabela214537496197157[[#This Row],[Custo Projetado]]-Tabela214537496197157[[#This Row],[Custo Real]]</f>
        <v>0</v>
      </c>
    </row>
    <row r="19" spans="1:9" x14ac:dyDescent="0.2">
      <c r="A19" s="20" t="s">
        <v>11</v>
      </c>
      <c r="B19" s="16"/>
      <c r="C19" s="16"/>
      <c r="D19" s="17">
        <f>Tabela113426385086146[[#This Row],[Custo Projetado]]-Tabela113426385086146[[#This Row],[Custo Real]]</f>
        <v>0</v>
      </c>
      <c r="E19" s="29"/>
      <c r="F19" s="20" t="s">
        <v>12</v>
      </c>
      <c r="G19" s="16"/>
      <c r="H19" s="16"/>
      <c r="I19" s="17">
        <f>Tabela214537496197157[[#This Row],[Custo Projetado]]-Tabela214537496197157[[#This Row],[Custo Real]]</f>
        <v>0</v>
      </c>
    </row>
    <row r="20" spans="1:9" x14ac:dyDescent="0.2">
      <c r="A20" s="20" t="s">
        <v>38</v>
      </c>
      <c r="B20" s="16">
        <v>1800</v>
      </c>
      <c r="C20" s="16"/>
      <c r="D20" s="17">
        <f>Tabela113426385086146[[#This Row],[Custo Projetado]]-Tabela113426385086146[[#This Row],[Custo Real]]</f>
        <v>1800</v>
      </c>
      <c r="E20" s="29"/>
      <c r="F20" s="13" t="s">
        <v>68</v>
      </c>
      <c r="G20" s="18">
        <f>SUBTOTAL(109,Tabela214537496197157[Custo Projetado])</f>
        <v>150</v>
      </c>
      <c r="H20" s="16">
        <f>SUBTOTAL(109,Tabela214537496197157[Custo Real])</f>
        <v>0</v>
      </c>
      <c r="I20" s="19">
        <f>SUBTOTAL(109,Tabela214537496197157[Diferença])</f>
        <v>150</v>
      </c>
    </row>
    <row r="21" spans="1:9" x14ac:dyDescent="0.2">
      <c r="A21" s="13" t="s">
        <v>68</v>
      </c>
      <c r="B21" s="16">
        <f>SUBTOTAL(109,Tabela113426385086146[Custo Projetado])</f>
        <v>4200</v>
      </c>
      <c r="C21" s="16">
        <f>SUBTOTAL(109,Tabela113426385086146[Custo Real])</f>
        <v>0</v>
      </c>
      <c r="D21" s="19">
        <f>SUBTOTAL(109,Tabela113426385086146[Diferença])</f>
        <v>4200</v>
      </c>
      <c r="E21" s="29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29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29"/>
      <c r="F23" s="20" t="s">
        <v>79</v>
      </c>
      <c r="G23" s="16"/>
      <c r="H23" s="16"/>
      <c r="I23" s="17">
        <f>Tabela814234465894154[[#This Row],[Custo Projetado]]-Tabela814234465894154[[#This Row],[Custo Real]]</f>
        <v>0</v>
      </c>
    </row>
    <row r="24" spans="1:9" x14ac:dyDescent="0.2">
      <c r="A24" s="20" t="s">
        <v>72</v>
      </c>
      <c r="B24" s="16"/>
      <c r="C24" s="16"/>
      <c r="D24" s="17">
        <f>Tabela314133455793153[[#This Row],[Custo Projetado]]-Tabela314133455793153[[#This Row],[Custo Real]]</f>
        <v>0</v>
      </c>
      <c r="E24" s="29"/>
      <c r="F24" s="20" t="s">
        <v>39</v>
      </c>
      <c r="G24" s="16"/>
      <c r="H24" s="16"/>
      <c r="I24" s="17">
        <f>Tabela814234465894154[[#This Row],[Custo Projetado]]-Tabela814234465894154[[#This Row],[Custo Real]]</f>
        <v>0</v>
      </c>
    </row>
    <row r="25" spans="1:9" x14ac:dyDescent="0.2">
      <c r="A25" s="20" t="s">
        <v>45</v>
      </c>
      <c r="B25" s="16"/>
      <c r="C25" s="16"/>
      <c r="D25" s="17">
        <f>Tabela314133455793153[[#This Row],[Custo Projetado]]-Tabela314133455793153[[#This Row],[Custo Real]]</f>
        <v>0</v>
      </c>
      <c r="E25" s="29"/>
      <c r="F25" s="20" t="s">
        <v>48</v>
      </c>
      <c r="G25" s="16">
        <v>141.49</v>
      </c>
      <c r="H25" s="16"/>
      <c r="I25" s="17">
        <f>Tabela814234465894154[[#This Row],[Custo Projetado]]-Tabela814234465894154[[#This Row],[Custo Real]]</f>
        <v>141.49</v>
      </c>
    </row>
    <row r="26" spans="1:9" x14ac:dyDescent="0.2">
      <c r="A26" s="20" t="s">
        <v>13</v>
      </c>
      <c r="B26" s="16">
        <v>85</v>
      </c>
      <c r="C26" s="16"/>
      <c r="D26" s="17">
        <f>Tabela314133455793153[[#This Row],[Custo Projetado]]-Tabela314133455793153[[#This Row],[Custo Real]]</f>
        <v>85</v>
      </c>
      <c r="E26" s="29"/>
      <c r="F26" s="20" t="s">
        <v>80</v>
      </c>
      <c r="G26" s="16">
        <v>650</v>
      </c>
      <c r="H26" s="16"/>
      <c r="I26" s="17">
        <f>Tabela814234465894154[[#This Row],[Custo Projetado]]-Tabela814234465894154[[#This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Tabela314133455793153[[#This Row],[Custo Projetado]]-Tabela314133455793153[[#This Row],[Custo Real]]</f>
        <v>86</v>
      </c>
      <c r="E27" s="29"/>
      <c r="F27" s="20" t="s">
        <v>48</v>
      </c>
      <c r="G27" s="16"/>
      <c r="H27" s="16"/>
      <c r="I27" s="17">
        <f>Tabela814234465894154[[#This Row],[Custo Projetado]]-Tabela814234465894154[[#This Row],[Custo Real]]</f>
        <v>0</v>
      </c>
    </row>
    <row r="28" spans="1:9" x14ac:dyDescent="0.2">
      <c r="A28" s="20" t="s">
        <v>75</v>
      </c>
      <c r="B28" s="24"/>
      <c r="C28" s="24"/>
      <c r="D28" s="25">
        <f>Tabela314133455793153[[#This Row],[Custo Projetado]]-Tabela314133455793153[[#This Row],[Custo Real]]</f>
        <v>0</v>
      </c>
      <c r="E28" s="29"/>
      <c r="F28" s="20" t="s">
        <v>12</v>
      </c>
      <c r="G28" s="16"/>
      <c r="H28" s="16"/>
      <c r="I28" s="17">
        <f>Tabela814234465894154[[#This Row],[Custo Projetado]]-Tabela814234465894154[[#This Row],[Custo Real]]</f>
        <v>0</v>
      </c>
    </row>
    <row r="29" spans="1:9" x14ac:dyDescent="0.2">
      <c r="A29" s="20" t="s">
        <v>14</v>
      </c>
      <c r="B29" s="16"/>
      <c r="C29" s="16"/>
      <c r="D29" s="17">
        <f>Tabela314133455793153[[#This Row],[Custo Projetado]]-Tabela314133455793153[[#This Row],[Custo Real]]</f>
        <v>0</v>
      </c>
      <c r="E29" s="29"/>
      <c r="F29" s="13" t="s">
        <v>68</v>
      </c>
      <c r="G29" s="16">
        <f>SUBTOTAL(109,Tabela814234465894154[Custo Projetado])</f>
        <v>791.49</v>
      </c>
      <c r="H29" s="16">
        <f>SUBTOTAL(109,Tabela814234465894154[Custo Real])</f>
        <v>0</v>
      </c>
      <c r="I29" s="19">
        <f>SUBTOTAL(109,Tabela814234465894154[Diferença])</f>
        <v>791.49</v>
      </c>
    </row>
    <row r="30" spans="1:9" x14ac:dyDescent="0.2">
      <c r="A30" s="20" t="s">
        <v>15</v>
      </c>
      <c r="B30" s="16"/>
      <c r="C30" s="16"/>
      <c r="D30" s="17">
        <f>Tabela314133455793153[[#This Row],[Custo Projetado]]-Tabela314133455793153[[#This Row],[Custo Real]]</f>
        <v>0</v>
      </c>
      <c r="E30" s="29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Tabela314133455793153[[#This Row],[Custo Projetado]]-Tabela314133455793153[[#This Row],[Custo Real]]</f>
        <v>200</v>
      </c>
      <c r="E31" s="29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Tabela314133455793153[[#This Row],[Custo Projetado]]-Tabela314133455793153[[#This Row],[Custo Real]]</f>
        <v>0</v>
      </c>
      <c r="E32" s="29"/>
      <c r="F32" s="20" t="s">
        <v>34</v>
      </c>
      <c r="G32" s="16"/>
      <c r="H32" s="16"/>
      <c r="I32" s="17">
        <f>Tabela914032445692152[[#This Row],[Custo Projetado]]-Tabela914032445692152[[#This Row],[Custo Real]]</f>
        <v>0</v>
      </c>
    </row>
    <row r="33" spans="1:9" x14ac:dyDescent="0.2">
      <c r="A33" s="26" t="s">
        <v>68</v>
      </c>
      <c r="B33" s="27">
        <f>SUBTOTAL(109,Tabela314133455793153[Custo Projetado])</f>
        <v>371</v>
      </c>
      <c r="C33" s="27">
        <f>SUBTOTAL(109,Tabela314133455793153[Custo Real])</f>
        <v>0</v>
      </c>
      <c r="D33" s="28">
        <f>SUBTOTAL(109,Tabela314133455793153[Diferença])</f>
        <v>371</v>
      </c>
      <c r="E33" s="29"/>
      <c r="F33" s="20" t="s">
        <v>35</v>
      </c>
      <c r="G33" s="16"/>
      <c r="H33" s="16"/>
      <c r="I33" s="17">
        <f>Tabela914032445692152[[#This Row],[Custo Projetado]]-Tabela914032445692152[[#This Row],[Custo Real]]</f>
        <v>0</v>
      </c>
    </row>
    <row r="34" spans="1:9" x14ac:dyDescent="0.2">
      <c r="A34" s="46"/>
      <c r="B34" s="46"/>
      <c r="C34" s="46"/>
      <c r="D34" s="46"/>
      <c r="E34" s="29"/>
      <c r="F34" s="20" t="s">
        <v>36</v>
      </c>
      <c r="G34" s="16"/>
      <c r="H34" s="16"/>
      <c r="I34" s="17">
        <f>Tabela914032445692152[[#This Row],[Custo Projetado]]-Tabela914032445692152[[#This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29"/>
      <c r="F35" s="20" t="s">
        <v>12</v>
      </c>
      <c r="G35" s="16"/>
      <c r="H35" s="16"/>
      <c r="I35" s="17">
        <f>Tabela914032445692152[[#This Row],[Custo Projetado]]-Tabela914032445692152[[#This Row],[Custo Real]]</f>
        <v>0</v>
      </c>
    </row>
    <row r="36" spans="1:9" x14ac:dyDescent="0.2">
      <c r="A36" s="20" t="s">
        <v>16</v>
      </c>
      <c r="B36" s="16"/>
      <c r="C36" s="16"/>
      <c r="D36" s="17">
        <f>Tabela413527395187147[[#This Row],[Custo Projetado]]-Tabela413527395187147[[#This Row],[Custo Real]]</f>
        <v>0</v>
      </c>
      <c r="E36" s="29"/>
      <c r="F36" s="13" t="s">
        <v>68</v>
      </c>
      <c r="G36" s="16">
        <f>SUBTOTAL(109,Tabela914032445692152[Custo Projetado])</f>
        <v>0</v>
      </c>
      <c r="H36" s="16">
        <f>SUBTOTAL(109,Tabela914032445692152[Custo Real])</f>
        <v>0</v>
      </c>
      <c r="I36" s="19">
        <f>SUBTOTAL(109,Tabela914032445692152[Diferença])</f>
        <v>0</v>
      </c>
    </row>
    <row r="37" spans="1:9" x14ac:dyDescent="0.2">
      <c r="A37" s="20" t="s">
        <v>17</v>
      </c>
      <c r="B37" s="16"/>
      <c r="C37" s="16"/>
      <c r="D37" s="17">
        <f>Tabela413527395187147[[#This Row],[Custo Projetado]]-Tabela413527395187147[[#This Row],[Custo Real]]</f>
        <v>0</v>
      </c>
      <c r="E37" s="29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Tabela413527395187147[[#This Row],[Custo Projetado]]-Tabela413527395187147[[#This Row],[Custo Real]]</f>
        <v>0</v>
      </c>
      <c r="E38" s="29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Tabela413527395187147[[#This Row],[Custo Projetado]]-Tabela413527395187147[[#This Row],[Custo Real]]</f>
        <v>0</v>
      </c>
      <c r="E39" s="29"/>
      <c r="F39" s="20" t="s">
        <v>49</v>
      </c>
      <c r="G39" s="16"/>
      <c r="H39" s="16"/>
      <c r="I39" s="17">
        <f>Tabela1014335475995155[[#This Row],[Custo Projetado]]-Tabela1014335475995155[[#This Row],[Custo Real]]</f>
        <v>0</v>
      </c>
    </row>
    <row r="40" spans="1:9" x14ac:dyDescent="0.2">
      <c r="A40" s="13" t="s">
        <v>68</v>
      </c>
      <c r="B40" s="16">
        <f>SUBTOTAL(109,Tabela413527395187147[Custo Projetado])</f>
        <v>0</v>
      </c>
      <c r="C40" s="16">
        <f>SUBTOTAL(109,Tabela413527395187147[Custo Real])</f>
        <v>0</v>
      </c>
      <c r="D40" s="19">
        <f>SUBTOTAL(109,Tabela413527395187147[Diferença])</f>
        <v>0</v>
      </c>
      <c r="E40" s="29"/>
      <c r="F40" s="20" t="s">
        <v>50</v>
      </c>
      <c r="G40" s="16"/>
      <c r="H40" s="16"/>
      <c r="I40" s="17">
        <f>Tabela1014335475995155[[#This Row],[Custo Projetado]]-Tabela1014335475995155[[#This Row],[Custo Real]]</f>
        <v>0</v>
      </c>
    </row>
    <row r="41" spans="1:9" x14ac:dyDescent="0.2">
      <c r="A41" s="46"/>
      <c r="B41" s="46"/>
      <c r="C41" s="46"/>
      <c r="D41" s="46"/>
      <c r="E41" s="29"/>
      <c r="F41" s="20" t="s">
        <v>12</v>
      </c>
      <c r="G41" s="16"/>
      <c r="H41" s="16"/>
      <c r="I41" s="17">
        <f>Tabela1014335475995155[[#This Row],[Custo Projetado]]-Tabela1014335475995155[[#This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29"/>
      <c r="F42" s="13" t="s">
        <v>68</v>
      </c>
      <c r="G42" s="16">
        <f>SUBTOTAL(109,Tabela1014335475995155[Custo Projetado])</f>
        <v>0</v>
      </c>
      <c r="H42" s="16">
        <f>SUBTOTAL(109,Tabela1014335475995155[Custo Real])</f>
        <v>0</v>
      </c>
      <c r="I42" s="19">
        <f>SUBTOTAL(109,Tabela1014335475995155[Diferença])</f>
        <v>0</v>
      </c>
    </row>
    <row r="43" spans="1:9" x14ac:dyDescent="0.2">
      <c r="A43" s="20" t="s">
        <v>19</v>
      </c>
      <c r="B43" s="16"/>
      <c r="C43" s="16"/>
      <c r="D43" s="17">
        <f>Tabela513931435591151[[#This Row],[Custo Projetado]]-Tabela513931435591151[[#This Row],[Custo Real]]</f>
        <v>0</v>
      </c>
      <c r="E43" s="29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Tabela513931435591151[[#This Row],[Custo Projetado]]-Tabela513931435591151[[#This Row],[Custo Real]]</f>
        <v>400</v>
      </c>
      <c r="E44" s="29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Tabela513931435591151[[#This Row],[Custo Projetado]]-Tabela513931435591151[[#This Row],[Custo Real]]</f>
        <v>0</v>
      </c>
      <c r="E45" s="29"/>
      <c r="F45" s="20" t="s">
        <v>73</v>
      </c>
      <c r="G45" s="16"/>
      <c r="H45" s="16"/>
      <c r="I45" s="17">
        <f>Tabela1113830425490150[[#This Row],[Custo Projetado]]-Tabela1113830425490150[[#This Row],[Custo Real]]</f>
        <v>0</v>
      </c>
    </row>
    <row r="46" spans="1:9" x14ac:dyDescent="0.2">
      <c r="A46" s="13" t="s">
        <v>68</v>
      </c>
      <c r="B46" s="16">
        <f>SUBTOTAL(109,Tabela513931435591151[Custo Projetado])</f>
        <v>400</v>
      </c>
      <c r="C46" s="16">
        <f>SUBTOTAL(109,Tabela513931435591151[Custo Real])</f>
        <v>0</v>
      </c>
      <c r="D46" s="19">
        <f>SUBTOTAL(109,Tabela513931435591151[Diferença])</f>
        <v>400</v>
      </c>
      <c r="E46" s="29"/>
      <c r="F46" s="20" t="s">
        <v>74</v>
      </c>
      <c r="G46" s="16"/>
      <c r="H46" s="16"/>
      <c r="I46" s="17">
        <f>Tabela1113830425490150[[#This Row],[Custo Projetado]]-Tabela1113830425490150[[#This Row],[Custo Real]]</f>
        <v>0</v>
      </c>
    </row>
    <row r="47" spans="1:9" x14ac:dyDescent="0.2">
      <c r="A47" s="46"/>
      <c r="B47" s="46"/>
      <c r="C47" s="46"/>
      <c r="D47" s="46"/>
      <c r="E47" s="29"/>
      <c r="F47" s="20" t="s">
        <v>43</v>
      </c>
      <c r="G47" s="16"/>
      <c r="H47" s="16"/>
      <c r="I47" s="17">
        <f>Tabela1113830425490150[[#This Row],[Custo Projetado]]-Tabela1113830425490150[[#This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29"/>
      <c r="F48" s="13" t="s">
        <v>68</v>
      </c>
      <c r="G48" s="16">
        <f>SUBTOTAL(109,Tabela1113830425490150[Custo Projetado])</f>
        <v>0</v>
      </c>
      <c r="H48" s="16">
        <f>SUBTOTAL(109,Tabela1113830425490150[Custo Real])</f>
        <v>0</v>
      </c>
      <c r="I48" s="19">
        <f>SUBTOTAL(109,Tabela1113830425490150[Diferença])</f>
        <v>0</v>
      </c>
    </row>
    <row r="49" spans="1:9" x14ac:dyDescent="0.2">
      <c r="A49" s="20" t="s">
        <v>20</v>
      </c>
      <c r="B49" s="16"/>
      <c r="C49" s="16"/>
      <c r="D49" s="17">
        <f>Tabela613729415389149[[#This Row],[Custo Projetado]]-Tabela613729415389149[[#This Row],[Custo Real]]</f>
        <v>0</v>
      </c>
      <c r="E49" s="29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Tabela613729415389149[[#This Row],[Custo Projetado]]-Tabela613729415389149[[#This Row],[Custo Real]]</f>
        <v>0</v>
      </c>
      <c r="E50" s="29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Tabela613729415389149[[#This Row],[Custo Projetado]]-Tabela613729415389149[[#This Row],[Custo Real]]</f>
        <v>0</v>
      </c>
      <c r="E51" s="29"/>
      <c r="F51" s="20" t="s">
        <v>37</v>
      </c>
      <c r="G51" s="16"/>
      <c r="H51" s="16"/>
      <c r="I51" s="17">
        <f>Tabela1213628405288148[[#This Row],[Custo Projetado]]-Tabela1213628405288148[[#This Row],[Custo Real]]</f>
        <v>0</v>
      </c>
    </row>
    <row r="52" spans="1:9" x14ac:dyDescent="0.2">
      <c r="A52" s="20" t="s">
        <v>21</v>
      </c>
      <c r="B52" s="16"/>
      <c r="C52" s="16"/>
      <c r="D52" s="17">
        <f>Tabela613729415389149[[#This Row],[Custo Projetado]]-Tabela613729415389149[[#This Row],[Custo Real]]</f>
        <v>0</v>
      </c>
      <c r="E52" s="29"/>
      <c r="F52" s="20" t="s">
        <v>38</v>
      </c>
      <c r="G52" s="16"/>
      <c r="H52" s="16"/>
      <c r="I52" s="17">
        <f>Tabela1213628405288148[[#This Row],[Custo Projetado]]-Tabela1213628405288148[[#This Row],[Custo Real]]</f>
        <v>0</v>
      </c>
    </row>
    <row r="53" spans="1:9" x14ac:dyDescent="0.2">
      <c r="A53" s="20" t="s">
        <v>12</v>
      </c>
      <c r="B53" s="16"/>
      <c r="C53" s="16"/>
      <c r="D53" s="17">
        <f>Tabela613729415389149[[#This Row],[Custo Projetado]]-Tabela613729415389149[[#This Row],[Custo Real]]</f>
        <v>0</v>
      </c>
      <c r="E53" s="29"/>
      <c r="F53" s="20" t="s">
        <v>44</v>
      </c>
      <c r="G53" s="16"/>
      <c r="H53" s="16"/>
      <c r="I53" s="17">
        <f>Tabela1213628405288148[[#This Row],[Custo Projetado]]-Tabela1213628405288148[[#This Row],[Custo Real]]</f>
        <v>0</v>
      </c>
    </row>
    <row r="54" spans="1:9" x14ac:dyDescent="0.2">
      <c r="A54" s="13" t="s">
        <v>68</v>
      </c>
      <c r="B54" s="16">
        <f>SUBTOTAL(109,Tabela613729415389149[Custo Projetado])</f>
        <v>0</v>
      </c>
      <c r="C54" s="16">
        <f>SUBTOTAL(109,Tabela613729415389149[Custo Real])</f>
        <v>0</v>
      </c>
      <c r="D54" s="19">
        <f>SUBTOTAL(109,Tabela613729415389149[Diferença])</f>
        <v>0</v>
      </c>
      <c r="E54" s="29"/>
      <c r="F54" s="20" t="s">
        <v>12</v>
      </c>
      <c r="G54" s="16"/>
      <c r="H54" s="16"/>
      <c r="I54" s="17">
        <f>Tabela1213628405288148[[#This Row],[Custo Projetado]]-Tabela1213628405288148[[#This Row],[Custo Real]]</f>
        <v>0</v>
      </c>
    </row>
    <row r="55" spans="1:9" x14ac:dyDescent="0.2">
      <c r="A55" s="46"/>
      <c r="B55" s="46"/>
      <c r="C55" s="46"/>
      <c r="D55" s="46"/>
      <c r="E55" s="29"/>
      <c r="F55" s="13" t="s">
        <v>68</v>
      </c>
      <c r="G55" s="16">
        <f>SUBTOTAL(109,Tabela1213628405288148[Custo Projetado])</f>
        <v>0</v>
      </c>
      <c r="H55" s="16">
        <f>SUBTOTAL(109,Tabela1213628405288148[Custo Real])</f>
        <v>0</v>
      </c>
      <c r="I55" s="19">
        <f>SUBTOTAL(109,Tabela1213628405288148[Diferença])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Tabela714436486096156[[#This Row],[Custo Projetado]]-Tabela714436486096156[[#This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6632.49</v>
      </c>
    </row>
    <row r="58" spans="1:9" x14ac:dyDescent="0.2">
      <c r="A58" s="20" t="s">
        <v>25</v>
      </c>
      <c r="B58" s="16">
        <v>100</v>
      </c>
      <c r="C58" s="16"/>
      <c r="D58" s="17">
        <f>Tabela714436486096156[[#This Row],[Custo Projetado]]-Tabela714436486096156[[#This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Tabela714436486096156[[#This Row],[Custo Projetado]]-Tabela714436486096156[[#This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Tabela714436486096156[[#This Row],[Custo Projetado]]-Tabela714436486096156[[#This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Tabela714436486096156[[#This Row],[Custo Projetado]]-Tabela714436486096156[[#This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6632.49</v>
      </c>
    </row>
    <row r="62" spans="1:9" x14ac:dyDescent="0.2">
      <c r="A62" s="20" t="s">
        <v>81</v>
      </c>
      <c r="B62" s="16">
        <v>470</v>
      </c>
      <c r="C62" s="16"/>
      <c r="D62" s="17">
        <f>Tabela714436486096156[[#This Row],[Custo Projetado]]-Tabela714436486096156[[#This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Tabela714436486096156[[#This Row],[Custo Projetado]]-Tabela714436486096156[[#This Row],[Custo Real]]</f>
        <v>0</v>
      </c>
    </row>
    <row r="64" spans="1:9" x14ac:dyDescent="0.2">
      <c r="A64" s="13" t="s">
        <v>68</v>
      </c>
      <c r="B64" s="16">
        <f>SUBTOTAL(109,Tabela714436486096156[Custo Projetado])</f>
        <v>720</v>
      </c>
      <c r="C64" s="16">
        <f>SUBTOTAL(109,Tabela714436486096156[Custo Real])</f>
        <v>0</v>
      </c>
      <c r="D64" s="19">
        <f>SUBTOTAL(109,Tabela714436486096156[Diferença])</f>
        <v>720</v>
      </c>
    </row>
  </sheetData>
  <mergeCells count="33"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  <mergeCell ref="A41:D41"/>
    <mergeCell ref="A6:A8"/>
    <mergeCell ref="B6:C6"/>
    <mergeCell ref="B7:C7"/>
    <mergeCell ref="F7:H8"/>
    <mergeCell ref="F21:I21"/>
    <mergeCell ref="A22:D22"/>
    <mergeCell ref="F30:I30"/>
    <mergeCell ref="A34:D34"/>
    <mergeCell ref="F37:I37"/>
    <mergeCell ref="A47:D47"/>
    <mergeCell ref="F49:I49"/>
    <mergeCell ref="A55:D55"/>
    <mergeCell ref="F56:I56"/>
    <mergeCell ref="F57:H58"/>
    <mergeCell ref="I57:I58"/>
    <mergeCell ref="F59:H60"/>
    <mergeCell ref="I59:I60"/>
    <mergeCell ref="F61:H62"/>
    <mergeCell ref="I61:I62"/>
    <mergeCell ref="F43:I43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3632-5785-4234-91F1-523CACE34795}">
  <dimension ref="A1:I64"/>
  <sheetViews>
    <sheetView topLeftCell="A10" workbookViewId="0">
      <selection activeCell="F21" sqref="F21:I21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1967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30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-1967</v>
      </c>
    </row>
    <row r="8" spans="1:9" x14ac:dyDescent="0.2">
      <c r="A8" s="39"/>
      <c r="B8" s="44" t="s">
        <v>42</v>
      </c>
      <c r="C8" s="45"/>
      <c r="D8" s="30">
        <f>SUM(D6:D7)</f>
        <v>0</v>
      </c>
      <c r="E8" s="2"/>
      <c r="F8" s="42"/>
      <c r="G8" s="42"/>
      <c r="H8" s="42"/>
      <c r="I8" s="43"/>
    </row>
    <row r="9" spans="1:9" x14ac:dyDescent="0.2">
      <c r="A9" s="31"/>
      <c r="B9" s="31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Tabela113426385086146182[[#This Row],[Custo Projetado]]-Tabela113426385086146182[[#This Row],[Custo Real]]</f>
        <v>1900</v>
      </c>
      <c r="E11" s="29"/>
      <c r="F11" s="20" t="s">
        <v>28</v>
      </c>
      <c r="G11" s="16">
        <v>0</v>
      </c>
      <c r="H11" s="16"/>
      <c r="I11" s="17">
        <f>Tabela214537496197157193[[#This Row],[Custo Projetado]]-Tabela214537496197157193[[#This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Tabela113426385086146182[[#This Row],[Custo Projetado]]-Tabela113426385086146182[[#This Row],[Custo Real]]</f>
        <v>100</v>
      </c>
      <c r="E12" s="29"/>
      <c r="F12" s="20" t="s">
        <v>29</v>
      </c>
      <c r="G12" s="16"/>
      <c r="H12" s="16"/>
      <c r="I12" s="17">
        <f>Tabela214537496197157193[[#This Row],[Custo Projetado]]-Tabela214537496197157193[[#This Row],[Custo Real]]</f>
        <v>0</v>
      </c>
    </row>
    <row r="13" spans="1:9" x14ac:dyDescent="0.2">
      <c r="A13" s="20" t="s">
        <v>46</v>
      </c>
      <c r="B13" s="16"/>
      <c r="C13" s="16"/>
      <c r="D13" s="17">
        <f>Tabela113426385086146182[[#This Row],[Custo Projetado]]-Tabela113426385086146182[[#This Row],[Custo Real]]</f>
        <v>0</v>
      </c>
      <c r="E13" s="29"/>
      <c r="F13" s="20" t="s">
        <v>30</v>
      </c>
      <c r="G13" s="16"/>
      <c r="H13" s="16"/>
      <c r="I13" s="17">
        <f>Tabela214537496197157193[[#This Row],[Custo Projetado]]-Tabela214537496197157193[[#This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Tabela113426385086146182[[#This Row],[Custo Projetado]]-Tabela113426385086146182[[#This Row],[Custo Real]]</f>
        <v>400</v>
      </c>
      <c r="E14" s="29"/>
      <c r="F14" s="20" t="s">
        <v>31</v>
      </c>
      <c r="G14" s="16"/>
      <c r="H14" s="16"/>
      <c r="I14" s="17">
        <f>Tabela214537496197157193[[#This Row],[Custo Projetado]]-Tabela214537496197157193[[#This Row],[Custo Real]]</f>
        <v>0</v>
      </c>
    </row>
    <row r="15" spans="1:9" x14ac:dyDescent="0.2">
      <c r="A15" s="20" t="s">
        <v>7</v>
      </c>
      <c r="B15" s="16"/>
      <c r="C15" s="16"/>
      <c r="D15" s="17">
        <f>Tabela113426385086146182[[#This Row],[Custo Projetado]]-Tabela113426385086146182[[#This Row],[Custo Real]]</f>
        <v>0</v>
      </c>
      <c r="E15" s="29"/>
      <c r="F15" s="20" t="s">
        <v>47</v>
      </c>
      <c r="G15" s="16">
        <v>150</v>
      </c>
      <c r="H15" s="16"/>
      <c r="I15" s="17">
        <f>Tabela214537496197157193[[#This Row],[Custo Projetado]]-Tabela214537496197157193[[#This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Tabela113426385086146182[[#This Row],[Custo Projetado]]-Tabela113426385086146182[[#This Row],[Custo Real]]</f>
        <v>0</v>
      </c>
      <c r="E16" s="29"/>
      <c r="F16" s="20" t="s">
        <v>32</v>
      </c>
      <c r="G16" s="16"/>
      <c r="H16" s="16"/>
      <c r="I16" s="17">
        <f>Tabela214537496197157193[[#This Row],[Custo Projetado]]-Tabela214537496197157193[[#This Row],[Custo Real]]</f>
        <v>0</v>
      </c>
    </row>
    <row r="17" spans="1:9" x14ac:dyDescent="0.2">
      <c r="A17" s="20" t="s">
        <v>9</v>
      </c>
      <c r="B17" s="16"/>
      <c r="C17" s="16"/>
      <c r="D17" s="17">
        <f>Tabela113426385086146182[[#This Row],[Custo Projetado]]-Tabela113426385086146182[[#This Row],[Custo Real]]</f>
        <v>0</v>
      </c>
      <c r="E17" s="29"/>
      <c r="F17" s="20" t="s">
        <v>12</v>
      </c>
      <c r="G17" s="16"/>
      <c r="H17" s="16"/>
      <c r="I17" s="17">
        <f>Tabela214537496197157193[[#This Row],[Custo Projetado]]-Tabela214537496197157193[[#This Row],[Custo Real]]</f>
        <v>0</v>
      </c>
    </row>
    <row r="18" spans="1:9" x14ac:dyDescent="0.2">
      <c r="A18" s="20" t="s">
        <v>10</v>
      </c>
      <c r="B18" s="16"/>
      <c r="C18" s="16"/>
      <c r="D18" s="17">
        <f>Tabela113426385086146182[[#This Row],[Custo Projetado]]-Tabela113426385086146182[[#This Row],[Custo Real]]</f>
        <v>0</v>
      </c>
      <c r="E18" s="29"/>
      <c r="F18" s="20" t="s">
        <v>12</v>
      </c>
      <c r="G18" s="16"/>
      <c r="H18" s="16"/>
      <c r="I18" s="17">
        <f>Tabela214537496197157193[[#This Row],[Custo Projetado]]-Tabela214537496197157193[[#This Row],[Custo Real]]</f>
        <v>0</v>
      </c>
    </row>
    <row r="19" spans="1:9" x14ac:dyDescent="0.2">
      <c r="A19" s="20" t="s">
        <v>11</v>
      </c>
      <c r="B19" s="16"/>
      <c r="C19" s="16"/>
      <c r="D19" s="17">
        <f>Tabela113426385086146182[[#This Row],[Custo Projetado]]-Tabela113426385086146182[[#This Row],[Custo Real]]</f>
        <v>0</v>
      </c>
      <c r="E19" s="29"/>
      <c r="F19" s="20" t="s">
        <v>12</v>
      </c>
      <c r="G19" s="16"/>
      <c r="H19" s="16"/>
      <c r="I19" s="17">
        <f>Tabela214537496197157193[[#This Row],[Custo Projetado]]-Tabela214537496197157193[[#This Row],[Custo Real]]</f>
        <v>0</v>
      </c>
    </row>
    <row r="20" spans="1:9" x14ac:dyDescent="0.2">
      <c r="A20" s="20" t="s">
        <v>38</v>
      </c>
      <c r="B20" s="16">
        <v>1800</v>
      </c>
      <c r="C20" s="16"/>
      <c r="D20" s="17">
        <f>Tabela113426385086146182[[#This Row],[Custo Projetado]]-Tabela113426385086146182[[#This Row],[Custo Real]]</f>
        <v>1800</v>
      </c>
      <c r="E20" s="29"/>
      <c r="F20" s="13" t="s">
        <v>68</v>
      </c>
      <c r="G20" s="18">
        <f>SUBTOTAL(109,Tabela214537496197157193[Custo Projetado])</f>
        <v>150</v>
      </c>
      <c r="H20" s="16">
        <f>SUBTOTAL(109,Tabela214537496197157193[Custo Real])</f>
        <v>0</v>
      </c>
      <c r="I20" s="19">
        <f>SUBTOTAL(109,Tabela214537496197157193[Diferença])</f>
        <v>150</v>
      </c>
    </row>
    <row r="21" spans="1:9" x14ac:dyDescent="0.2">
      <c r="A21" s="13" t="s">
        <v>68</v>
      </c>
      <c r="B21" s="16">
        <f>SUBTOTAL(109,Tabela113426385086146182[Custo Projetado])</f>
        <v>4200</v>
      </c>
      <c r="C21" s="16">
        <f>SUBTOTAL(109,Tabela113426385086146182[Custo Real])</f>
        <v>0</v>
      </c>
      <c r="D21" s="19">
        <f>SUBTOTAL(109,Tabela113426385086146182[Diferença])</f>
        <v>4200</v>
      </c>
      <c r="E21" s="29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29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29"/>
      <c r="F23" s="20" t="s">
        <v>79</v>
      </c>
      <c r="G23" s="16"/>
      <c r="H23" s="16"/>
      <c r="I23" s="17">
        <f>Tabela814234465894154190[[#This Row],[Custo Projetado]]-Tabela814234465894154190[[#This Row],[Custo Real]]</f>
        <v>0</v>
      </c>
    </row>
    <row r="24" spans="1:9" x14ac:dyDescent="0.2">
      <c r="A24" s="20" t="s">
        <v>72</v>
      </c>
      <c r="B24" s="16"/>
      <c r="C24" s="16"/>
      <c r="D24" s="17">
        <f>Tabela314133455793153189[[#This Row],[Custo Projetado]]-Tabela314133455793153189[[#This Row],[Custo Real]]</f>
        <v>0</v>
      </c>
      <c r="E24" s="29"/>
      <c r="F24" s="20" t="s">
        <v>39</v>
      </c>
      <c r="G24" s="16"/>
      <c r="H24" s="16"/>
      <c r="I24" s="17">
        <f>Tabela814234465894154190[[#This Row],[Custo Projetado]]-Tabela814234465894154190[[#This Row],[Custo Real]]</f>
        <v>0</v>
      </c>
    </row>
    <row r="25" spans="1:9" x14ac:dyDescent="0.2">
      <c r="A25" s="20" t="s">
        <v>45</v>
      </c>
      <c r="B25" s="16"/>
      <c r="C25" s="16"/>
      <c r="D25" s="17">
        <f>Tabela314133455793153189[[#This Row],[Custo Projetado]]-Tabela314133455793153189[[#This Row],[Custo Real]]</f>
        <v>0</v>
      </c>
      <c r="E25" s="29"/>
      <c r="F25" s="20" t="s">
        <v>48</v>
      </c>
      <c r="G25" s="16">
        <v>142</v>
      </c>
      <c r="H25" s="16"/>
      <c r="I25" s="17">
        <f>Tabela814234465894154190[[#This Row],[Custo Projetado]]-Tabela814234465894154190[[#This Row],[Custo Real]]</f>
        <v>142</v>
      </c>
    </row>
    <row r="26" spans="1:9" x14ac:dyDescent="0.2">
      <c r="A26" s="20" t="s">
        <v>13</v>
      </c>
      <c r="B26" s="16">
        <v>85</v>
      </c>
      <c r="C26" s="16"/>
      <c r="D26" s="17">
        <f>Tabela314133455793153189[[#This Row],[Custo Projetado]]-Tabela314133455793153189[[#This Row],[Custo Real]]</f>
        <v>85</v>
      </c>
      <c r="E26" s="29"/>
      <c r="F26" s="20" t="s">
        <v>80</v>
      </c>
      <c r="G26" s="16">
        <v>650</v>
      </c>
      <c r="H26" s="16"/>
      <c r="I26" s="17">
        <f>Tabela814234465894154190[[#This Row],[Custo Projetado]]-Tabela814234465894154190[[#This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Tabela314133455793153189[[#This Row],[Custo Projetado]]-Tabela314133455793153189[[#This Row],[Custo Real]]</f>
        <v>86</v>
      </c>
      <c r="E27" s="29"/>
      <c r="F27" s="20" t="s">
        <v>48</v>
      </c>
      <c r="G27" s="16"/>
      <c r="H27" s="16"/>
      <c r="I27" s="17">
        <f>Tabela814234465894154190[[#This Row],[Custo Projetado]]-Tabela814234465894154190[[#This Row],[Custo Real]]</f>
        <v>0</v>
      </c>
    </row>
    <row r="28" spans="1:9" x14ac:dyDescent="0.2">
      <c r="A28" s="20" t="s">
        <v>75</v>
      </c>
      <c r="B28" s="24"/>
      <c r="C28" s="24"/>
      <c r="D28" s="25">
        <f>Tabela314133455793153189[[#This Row],[Custo Projetado]]-Tabela314133455793153189[[#This Row],[Custo Real]]</f>
        <v>0</v>
      </c>
      <c r="E28" s="29"/>
      <c r="F28" s="20" t="s">
        <v>12</v>
      </c>
      <c r="G28" s="16"/>
      <c r="H28" s="16"/>
      <c r="I28" s="17">
        <f>Tabela814234465894154190[[#This Row],[Custo Projetado]]-Tabela814234465894154190[[#This Row],[Custo Real]]</f>
        <v>0</v>
      </c>
    </row>
    <row r="29" spans="1:9" x14ac:dyDescent="0.2">
      <c r="A29" s="20" t="s">
        <v>14</v>
      </c>
      <c r="B29" s="16"/>
      <c r="C29" s="16"/>
      <c r="D29" s="17">
        <f>Tabela314133455793153189[[#This Row],[Custo Projetado]]-Tabela314133455793153189[[#This Row],[Custo Real]]</f>
        <v>0</v>
      </c>
      <c r="E29" s="29"/>
      <c r="F29" s="13" t="s">
        <v>68</v>
      </c>
      <c r="G29" s="16">
        <f>SUBTOTAL(109,Tabela814234465894154190[Custo Projetado])</f>
        <v>792</v>
      </c>
      <c r="H29" s="16">
        <f>SUBTOTAL(109,Tabela814234465894154190[Custo Real])</f>
        <v>0</v>
      </c>
      <c r="I29" s="19">
        <f>SUBTOTAL(109,Tabela814234465894154190[Diferença])</f>
        <v>792</v>
      </c>
    </row>
    <row r="30" spans="1:9" x14ac:dyDescent="0.2">
      <c r="A30" s="20" t="s">
        <v>15</v>
      </c>
      <c r="B30" s="16"/>
      <c r="C30" s="16"/>
      <c r="D30" s="17">
        <f>Tabela314133455793153189[[#This Row],[Custo Projetado]]-Tabela314133455793153189[[#This Row],[Custo Real]]</f>
        <v>0</v>
      </c>
      <c r="E30" s="29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Tabela314133455793153189[[#This Row],[Custo Projetado]]-Tabela314133455793153189[[#This Row],[Custo Real]]</f>
        <v>200</v>
      </c>
      <c r="E31" s="29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Tabela314133455793153189[[#This Row],[Custo Projetado]]-Tabela314133455793153189[[#This Row],[Custo Real]]</f>
        <v>0</v>
      </c>
      <c r="E32" s="29"/>
      <c r="F32" s="20" t="s">
        <v>34</v>
      </c>
      <c r="G32" s="16"/>
      <c r="H32" s="16"/>
      <c r="I32" s="17">
        <f>Tabela914032445692152188[[#This Row],[Custo Projetado]]-Tabela914032445692152188[[#This Row],[Custo Real]]</f>
        <v>0</v>
      </c>
    </row>
    <row r="33" spans="1:9" x14ac:dyDescent="0.2">
      <c r="A33" s="26" t="s">
        <v>68</v>
      </c>
      <c r="B33" s="27">
        <f>SUBTOTAL(109,Tabela314133455793153189[Custo Projetado])</f>
        <v>371</v>
      </c>
      <c r="C33" s="27">
        <f>SUBTOTAL(109,Tabela314133455793153189[Custo Real])</f>
        <v>0</v>
      </c>
      <c r="D33" s="28">
        <f>SUBTOTAL(109,Tabela314133455793153189[Diferença])</f>
        <v>371</v>
      </c>
      <c r="E33" s="29"/>
      <c r="F33" s="20" t="s">
        <v>35</v>
      </c>
      <c r="G33" s="16"/>
      <c r="H33" s="16"/>
      <c r="I33" s="17">
        <f>Tabela914032445692152188[[#This Row],[Custo Projetado]]-Tabela914032445692152188[[#This Row],[Custo Real]]</f>
        <v>0</v>
      </c>
    </row>
    <row r="34" spans="1:9" x14ac:dyDescent="0.2">
      <c r="A34" s="46"/>
      <c r="B34" s="46"/>
      <c r="C34" s="46"/>
      <c r="D34" s="46"/>
      <c r="E34" s="29"/>
      <c r="F34" s="20" t="s">
        <v>36</v>
      </c>
      <c r="G34" s="16"/>
      <c r="H34" s="16"/>
      <c r="I34" s="17">
        <f>Tabela914032445692152188[[#This Row],[Custo Projetado]]-Tabela914032445692152188[[#This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29"/>
      <c r="F35" s="20" t="s">
        <v>12</v>
      </c>
      <c r="G35" s="16"/>
      <c r="H35" s="16"/>
      <c r="I35" s="17">
        <f>Tabela914032445692152188[[#This Row],[Custo Projetado]]-Tabela914032445692152188[[#This Row],[Custo Real]]</f>
        <v>0</v>
      </c>
    </row>
    <row r="36" spans="1:9" x14ac:dyDescent="0.2">
      <c r="A36" s="20" t="s">
        <v>16</v>
      </c>
      <c r="B36" s="16"/>
      <c r="C36" s="16"/>
      <c r="D36" s="17">
        <f>Tabela413527395187147183[[#This Row],[Custo Projetado]]-Tabela413527395187147183[[#This Row],[Custo Real]]</f>
        <v>0</v>
      </c>
      <c r="E36" s="29"/>
      <c r="F36" s="13" t="s">
        <v>68</v>
      </c>
      <c r="G36" s="16">
        <f>SUBTOTAL(109,Tabela914032445692152188[Custo Projetado])</f>
        <v>0</v>
      </c>
      <c r="H36" s="16">
        <f>SUBTOTAL(109,Tabela914032445692152188[Custo Real])</f>
        <v>0</v>
      </c>
      <c r="I36" s="19">
        <f>SUBTOTAL(109,Tabela914032445692152188[Diferença])</f>
        <v>0</v>
      </c>
    </row>
    <row r="37" spans="1:9" x14ac:dyDescent="0.2">
      <c r="A37" s="20" t="s">
        <v>17</v>
      </c>
      <c r="B37" s="16"/>
      <c r="C37" s="16"/>
      <c r="D37" s="17">
        <f>Tabela413527395187147183[[#This Row],[Custo Projetado]]-Tabela413527395187147183[[#This Row],[Custo Real]]</f>
        <v>0</v>
      </c>
      <c r="E37" s="29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Tabela413527395187147183[[#This Row],[Custo Projetado]]-Tabela413527395187147183[[#This Row],[Custo Real]]</f>
        <v>0</v>
      </c>
      <c r="E38" s="29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Tabela413527395187147183[[#This Row],[Custo Projetado]]-Tabela413527395187147183[[#This Row],[Custo Real]]</f>
        <v>0</v>
      </c>
      <c r="E39" s="29"/>
      <c r="F39" s="20" t="s">
        <v>49</v>
      </c>
      <c r="G39" s="16"/>
      <c r="H39" s="16"/>
      <c r="I39" s="17">
        <f>Tabela1014335475995155191[[#This Row],[Custo Projetado]]-Tabela1014335475995155191[[#This Row],[Custo Real]]</f>
        <v>0</v>
      </c>
    </row>
    <row r="40" spans="1:9" x14ac:dyDescent="0.2">
      <c r="A40" s="13" t="s">
        <v>68</v>
      </c>
      <c r="B40" s="16">
        <f>SUBTOTAL(109,Tabela413527395187147183[Custo Projetado])</f>
        <v>0</v>
      </c>
      <c r="C40" s="16">
        <f>SUBTOTAL(109,Tabela413527395187147183[Custo Real])</f>
        <v>0</v>
      </c>
      <c r="D40" s="19">
        <f>SUBTOTAL(109,Tabela413527395187147183[Diferença])</f>
        <v>0</v>
      </c>
      <c r="E40" s="29"/>
      <c r="F40" s="20" t="s">
        <v>50</v>
      </c>
      <c r="G40" s="16"/>
      <c r="H40" s="16"/>
      <c r="I40" s="17">
        <f>Tabela1014335475995155191[[#This Row],[Custo Projetado]]-Tabela1014335475995155191[[#This Row],[Custo Real]]</f>
        <v>0</v>
      </c>
    </row>
    <row r="41" spans="1:9" x14ac:dyDescent="0.2">
      <c r="A41" s="46"/>
      <c r="B41" s="46"/>
      <c r="C41" s="46"/>
      <c r="D41" s="46"/>
      <c r="E41" s="29"/>
      <c r="F41" s="20" t="s">
        <v>12</v>
      </c>
      <c r="G41" s="16"/>
      <c r="H41" s="16"/>
      <c r="I41" s="17">
        <f>Tabela1014335475995155191[[#This Row],[Custo Projetado]]-Tabela1014335475995155191[[#This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29"/>
      <c r="F42" s="13" t="s">
        <v>68</v>
      </c>
      <c r="G42" s="16">
        <f>SUBTOTAL(109,Tabela1014335475995155191[Custo Projetado])</f>
        <v>0</v>
      </c>
      <c r="H42" s="16">
        <f>SUBTOTAL(109,Tabela1014335475995155191[Custo Real])</f>
        <v>0</v>
      </c>
      <c r="I42" s="19">
        <f>SUBTOTAL(109,Tabela1014335475995155191[Diferença])</f>
        <v>0</v>
      </c>
    </row>
    <row r="43" spans="1:9" x14ac:dyDescent="0.2">
      <c r="A43" s="20" t="s">
        <v>19</v>
      </c>
      <c r="B43" s="16"/>
      <c r="C43" s="16"/>
      <c r="D43" s="17">
        <f>Tabela513931435591151187[[#This Row],[Custo Projetado]]-Tabela513931435591151187[[#This Row],[Custo Real]]</f>
        <v>0</v>
      </c>
      <c r="E43" s="29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Tabela513931435591151187[[#This Row],[Custo Projetado]]-Tabela513931435591151187[[#This Row],[Custo Real]]</f>
        <v>400</v>
      </c>
      <c r="E44" s="29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Tabela513931435591151187[[#This Row],[Custo Projetado]]-Tabela513931435591151187[[#This Row],[Custo Real]]</f>
        <v>0</v>
      </c>
      <c r="E45" s="29"/>
      <c r="F45" s="20" t="s">
        <v>73</v>
      </c>
      <c r="G45" s="16"/>
      <c r="H45" s="16"/>
      <c r="I45" s="17">
        <f>Tabela1113830425490150186[[#This Row],[Custo Projetado]]-Tabela1113830425490150186[[#This Row],[Custo Real]]</f>
        <v>0</v>
      </c>
    </row>
    <row r="46" spans="1:9" x14ac:dyDescent="0.2">
      <c r="A46" s="13" t="s">
        <v>68</v>
      </c>
      <c r="B46" s="16">
        <f>SUBTOTAL(109,Tabela513931435591151187[Custo Projetado])</f>
        <v>400</v>
      </c>
      <c r="C46" s="16">
        <f>SUBTOTAL(109,Tabela513931435591151187[Custo Real])</f>
        <v>0</v>
      </c>
      <c r="D46" s="19">
        <f>SUBTOTAL(109,Tabela513931435591151187[Diferença])</f>
        <v>400</v>
      </c>
      <c r="E46" s="29"/>
      <c r="F46" s="20" t="s">
        <v>74</v>
      </c>
      <c r="G46" s="16"/>
      <c r="H46" s="16"/>
      <c r="I46" s="17">
        <f>Tabela1113830425490150186[[#This Row],[Custo Projetado]]-Tabela1113830425490150186[[#This Row],[Custo Real]]</f>
        <v>0</v>
      </c>
    </row>
    <row r="47" spans="1:9" x14ac:dyDescent="0.2">
      <c r="A47" s="46"/>
      <c r="B47" s="46"/>
      <c r="C47" s="46"/>
      <c r="D47" s="46"/>
      <c r="E47" s="29"/>
      <c r="F47" s="20" t="s">
        <v>43</v>
      </c>
      <c r="G47" s="16"/>
      <c r="H47" s="16"/>
      <c r="I47" s="17">
        <f>Tabela1113830425490150186[[#This Row],[Custo Projetado]]-Tabela1113830425490150186[[#This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29"/>
      <c r="F48" s="13" t="s">
        <v>68</v>
      </c>
      <c r="G48" s="16">
        <f>SUBTOTAL(109,Tabela1113830425490150186[Custo Projetado])</f>
        <v>0</v>
      </c>
      <c r="H48" s="16">
        <f>SUBTOTAL(109,Tabela1113830425490150186[Custo Real])</f>
        <v>0</v>
      </c>
      <c r="I48" s="19">
        <f>SUBTOTAL(109,Tabela1113830425490150186[Diferença])</f>
        <v>0</v>
      </c>
    </row>
    <row r="49" spans="1:9" x14ac:dyDescent="0.2">
      <c r="A49" s="20" t="s">
        <v>20</v>
      </c>
      <c r="B49" s="16"/>
      <c r="C49" s="16"/>
      <c r="D49" s="17">
        <f>Tabela613729415389149185[[#This Row],[Custo Projetado]]-Tabela613729415389149185[[#This Row],[Custo Real]]</f>
        <v>0</v>
      </c>
      <c r="E49" s="29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Tabela613729415389149185[[#This Row],[Custo Projetado]]-Tabela613729415389149185[[#This Row],[Custo Real]]</f>
        <v>0</v>
      </c>
      <c r="E50" s="29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Tabela613729415389149185[[#This Row],[Custo Projetado]]-Tabela613729415389149185[[#This Row],[Custo Real]]</f>
        <v>0</v>
      </c>
      <c r="E51" s="29"/>
      <c r="F51" s="20" t="s">
        <v>37</v>
      </c>
      <c r="G51" s="16"/>
      <c r="H51" s="16"/>
      <c r="I51" s="17">
        <f>Tabela1213628405288148184[[#This Row],[Custo Projetado]]-Tabela1213628405288148184[[#This Row],[Custo Real]]</f>
        <v>0</v>
      </c>
    </row>
    <row r="52" spans="1:9" x14ac:dyDescent="0.2">
      <c r="A52" s="20" t="s">
        <v>21</v>
      </c>
      <c r="B52" s="16"/>
      <c r="C52" s="16"/>
      <c r="D52" s="17">
        <f>Tabela613729415389149185[[#This Row],[Custo Projetado]]-Tabela613729415389149185[[#This Row],[Custo Real]]</f>
        <v>0</v>
      </c>
      <c r="E52" s="29"/>
      <c r="F52" s="20" t="s">
        <v>38</v>
      </c>
      <c r="G52" s="16"/>
      <c r="H52" s="16"/>
      <c r="I52" s="17">
        <f>Tabela1213628405288148184[[#This Row],[Custo Projetado]]-Tabela1213628405288148184[[#This Row],[Custo Real]]</f>
        <v>0</v>
      </c>
    </row>
    <row r="53" spans="1:9" x14ac:dyDescent="0.2">
      <c r="A53" s="20" t="s">
        <v>12</v>
      </c>
      <c r="B53" s="16"/>
      <c r="C53" s="16"/>
      <c r="D53" s="17">
        <f>Tabela613729415389149185[[#This Row],[Custo Projetado]]-Tabela613729415389149185[[#This Row],[Custo Real]]</f>
        <v>0</v>
      </c>
      <c r="E53" s="29"/>
      <c r="F53" s="20" t="s">
        <v>44</v>
      </c>
      <c r="G53" s="16"/>
      <c r="H53" s="16"/>
      <c r="I53" s="17">
        <f>Tabela1213628405288148184[[#This Row],[Custo Projetado]]-Tabela1213628405288148184[[#This Row],[Custo Real]]</f>
        <v>0</v>
      </c>
    </row>
    <row r="54" spans="1:9" x14ac:dyDescent="0.2">
      <c r="A54" s="13" t="s">
        <v>68</v>
      </c>
      <c r="B54" s="16">
        <f>SUBTOTAL(109,Tabela613729415389149185[Custo Projetado])</f>
        <v>0</v>
      </c>
      <c r="C54" s="16">
        <f>SUBTOTAL(109,Tabela613729415389149185[Custo Real])</f>
        <v>0</v>
      </c>
      <c r="D54" s="19">
        <f>SUBTOTAL(109,Tabela613729415389149185[Diferença])</f>
        <v>0</v>
      </c>
      <c r="E54" s="29"/>
      <c r="F54" s="20" t="s">
        <v>12</v>
      </c>
      <c r="G54" s="16"/>
      <c r="H54" s="16"/>
      <c r="I54" s="17">
        <f>Tabela1213628405288148184[[#This Row],[Custo Projetado]]-Tabela1213628405288148184[[#This Row],[Custo Real]]</f>
        <v>0</v>
      </c>
    </row>
    <row r="55" spans="1:9" x14ac:dyDescent="0.2">
      <c r="A55" s="46"/>
      <c r="B55" s="46"/>
      <c r="C55" s="46"/>
      <c r="D55" s="46"/>
      <c r="E55" s="29"/>
      <c r="F55" s="13" t="s">
        <v>68</v>
      </c>
      <c r="G55" s="16">
        <f>SUBTOTAL(109,Tabela1213628405288148184[Custo Projetado])</f>
        <v>0</v>
      </c>
      <c r="H55" s="16">
        <f>SUBTOTAL(109,Tabela1213628405288148184[Custo Real])</f>
        <v>0</v>
      </c>
      <c r="I55" s="19">
        <f>SUBTOTAL(109,Tabela1213628405288148184[Diferença])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Tabela714436486096156192[[#This Row],[Custo Projetado]]-Tabela714436486096156192[[#This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6633</v>
      </c>
    </row>
    <row r="58" spans="1:9" x14ac:dyDescent="0.2">
      <c r="A58" s="20" t="s">
        <v>25</v>
      </c>
      <c r="B58" s="16">
        <v>100</v>
      </c>
      <c r="C58" s="16"/>
      <c r="D58" s="17">
        <f>Tabela714436486096156192[[#This Row],[Custo Projetado]]-Tabela714436486096156192[[#This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Tabela714436486096156192[[#This Row],[Custo Projetado]]-Tabela714436486096156192[[#This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Tabela714436486096156192[[#This Row],[Custo Projetado]]-Tabela714436486096156192[[#This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Tabela714436486096156192[[#This Row],[Custo Projetado]]-Tabela714436486096156192[[#This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6633</v>
      </c>
    </row>
    <row r="62" spans="1:9" x14ac:dyDescent="0.2">
      <c r="A62" s="20" t="s">
        <v>81</v>
      </c>
      <c r="B62" s="16">
        <v>470</v>
      </c>
      <c r="C62" s="16"/>
      <c r="D62" s="17">
        <f>Tabela714436486096156192[[#This Row],[Custo Projetado]]-Tabela714436486096156192[[#This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Tabela714436486096156192[[#This Row],[Custo Projetado]]-Tabela714436486096156192[[#This Row],[Custo Real]]</f>
        <v>0</v>
      </c>
    </row>
    <row r="64" spans="1:9" x14ac:dyDescent="0.2">
      <c r="A64" s="13" t="s">
        <v>68</v>
      </c>
      <c r="B64" s="16">
        <f>SUBTOTAL(109,Tabela714436486096156192[Custo Projetado])</f>
        <v>720</v>
      </c>
      <c r="C64" s="16">
        <f>SUBTOTAL(109,Tabela714436486096156192[Custo Real])</f>
        <v>0</v>
      </c>
      <c r="D64" s="19">
        <f>SUBTOTAL(109,Tabela714436486096156192[Diferença])</f>
        <v>720</v>
      </c>
    </row>
  </sheetData>
  <mergeCells count="33"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  <mergeCell ref="A41:D41"/>
    <mergeCell ref="A6:A8"/>
    <mergeCell ref="B6:C6"/>
    <mergeCell ref="B7:C7"/>
    <mergeCell ref="F7:H8"/>
    <mergeCell ref="F21:I21"/>
    <mergeCell ref="A22:D22"/>
    <mergeCell ref="F30:I30"/>
    <mergeCell ref="A34:D34"/>
    <mergeCell ref="F37:I37"/>
    <mergeCell ref="A47:D47"/>
    <mergeCell ref="F49:I49"/>
    <mergeCell ref="A55:D55"/>
    <mergeCell ref="F56:I56"/>
    <mergeCell ref="F57:H58"/>
    <mergeCell ref="I57:I58"/>
    <mergeCell ref="F59:H60"/>
    <mergeCell ref="I59:I60"/>
    <mergeCell ref="F61:H62"/>
    <mergeCell ref="I61:I62"/>
    <mergeCell ref="F43:I43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16F2-DD4F-4B29-8FEA-BD21EA64A8FA}">
  <dimension ref="A1:I64"/>
  <sheetViews>
    <sheetView workbookViewId="0">
      <selection activeCell="F20" sqref="F20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1967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33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-1967</v>
      </c>
    </row>
    <row r="8" spans="1:9" x14ac:dyDescent="0.2">
      <c r="A8" s="39"/>
      <c r="B8" s="44" t="s">
        <v>42</v>
      </c>
      <c r="C8" s="45"/>
      <c r="D8" s="33">
        <f>SUM(D6:D7)</f>
        <v>0</v>
      </c>
      <c r="E8" s="2"/>
      <c r="F8" s="42"/>
      <c r="G8" s="42"/>
      <c r="H8" s="42"/>
      <c r="I8" s="43"/>
    </row>
    <row r="9" spans="1:9" x14ac:dyDescent="0.2">
      <c r="A9" s="34"/>
      <c r="B9" s="34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Tabela11342638508614618219414[[#This Row],[Custo Projetado]]-Tabela11342638508614618219414[[#This Row],[Custo Real]]</f>
        <v>1900</v>
      </c>
      <c r="E11" s="32"/>
      <c r="F11" s="20" t="s">
        <v>28</v>
      </c>
      <c r="G11" s="16">
        <v>0</v>
      </c>
      <c r="H11" s="16"/>
      <c r="I11" s="17">
        <f>Tabela21453749619715719320525[[#This Row],[Custo Projetado]]-Tabela21453749619715719320525[[#This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Tabela11342638508614618219414[[#This Row],[Custo Projetado]]-Tabela11342638508614618219414[[#This Row],[Custo Real]]</f>
        <v>100</v>
      </c>
      <c r="E12" s="32"/>
      <c r="F12" s="20" t="s">
        <v>29</v>
      </c>
      <c r="G12" s="16"/>
      <c r="H12" s="16"/>
      <c r="I12" s="17">
        <f>Tabela21453749619715719320525[[#This Row],[Custo Projetado]]-Tabela21453749619715719320525[[#This Row],[Custo Real]]</f>
        <v>0</v>
      </c>
    </row>
    <row r="13" spans="1:9" x14ac:dyDescent="0.2">
      <c r="A13" s="20" t="s">
        <v>46</v>
      </c>
      <c r="B13" s="16"/>
      <c r="C13" s="16"/>
      <c r="D13" s="17">
        <f>Tabela11342638508614618219414[[#This Row],[Custo Projetado]]-Tabela11342638508614618219414[[#This Row],[Custo Real]]</f>
        <v>0</v>
      </c>
      <c r="E13" s="32"/>
      <c r="F13" s="20" t="s">
        <v>30</v>
      </c>
      <c r="G13" s="16"/>
      <c r="H13" s="16"/>
      <c r="I13" s="17">
        <f>Tabela21453749619715719320525[[#This Row],[Custo Projetado]]-Tabela21453749619715719320525[[#This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Tabela11342638508614618219414[[#This Row],[Custo Projetado]]-Tabela11342638508614618219414[[#This Row],[Custo Real]]</f>
        <v>400</v>
      </c>
      <c r="E14" s="32"/>
      <c r="F14" s="20" t="s">
        <v>31</v>
      </c>
      <c r="G14" s="16"/>
      <c r="H14" s="16"/>
      <c r="I14" s="17">
        <f>Tabela21453749619715719320525[[#This Row],[Custo Projetado]]-Tabela21453749619715719320525[[#This Row],[Custo Real]]</f>
        <v>0</v>
      </c>
    </row>
    <row r="15" spans="1:9" x14ac:dyDescent="0.2">
      <c r="A15" s="20" t="s">
        <v>7</v>
      </c>
      <c r="B15" s="16"/>
      <c r="C15" s="16"/>
      <c r="D15" s="17">
        <f>Tabela11342638508614618219414[[#This Row],[Custo Projetado]]-Tabela11342638508614618219414[[#This Row],[Custo Real]]</f>
        <v>0</v>
      </c>
      <c r="E15" s="32"/>
      <c r="F15" s="20" t="s">
        <v>47</v>
      </c>
      <c r="G15" s="16">
        <v>150</v>
      </c>
      <c r="H15" s="16"/>
      <c r="I15" s="17">
        <f>Tabela21453749619715719320525[[#This Row],[Custo Projetado]]-Tabela21453749619715719320525[[#This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Tabela11342638508614618219414[[#This Row],[Custo Projetado]]-Tabela11342638508614618219414[[#This Row],[Custo Real]]</f>
        <v>0</v>
      </c>
      <c r="E16" s="32"/>
      <c r="F16" s="20" t="s">
        <v>32</v>
      </c>
      <c r="G16" s="16"/>
      <c r="H16" s="16"/>
      <c r="I16" s="17">
        <f>Tabela21453749619715719320525[[#This Row],[Custo Projetado]]-Tabela21453749619715719320525[[#This Row],[Custo Real]]</f>
        <v>0</v>
      </c>
    </row>
    <row r="17" spans="1:9" x14ac:dyDescent="0.2">
      <c r="A17" s="20" t="s">
        <v>9</v>
      </c>
      <c r="B17" s="16"/>
      <c r="C17" s="16"/>
      <c r="D17" s="17">
        <f>Tabela11342638508614618219414[[#This Row],[Custo Projetado]]-Tabela11342638508614618219414[[#This Row],[Custo Real]]</f>
        <v>0</v>
      </c>
      <c r="E17" s="32"/>
      <c r="F17" s="20" t="s">
        <v>12</v>
      </c>
      <c r="G17" s="16"/>
      <c r="H17" s="16"/>
      <c r="I17" s="17">
        <f>Tabela21453749619715719320525[[#This Row],[Custo Projetado]]-Tabela21453749619715719320525[[#This Row],[Custo Real]]</f>
        <v>0</v>
      </c>
    </row>
    <row r="18" spans="1:9" x14ac:dyDescent="0.2">
      <c r="A18" s="20" t="s">
        <v>10</v>
      </c>
      <c r="B18" s="16"/>
      <c r="C18" s="16"/>
      <c r="D18" s="17">
        <f>Tabela11342638508614618219414[[#This Row],[Custo Projetado]]-Tabela11342638508614618219414[[#This Row],[Custo Real]]</f>
        <v>0</v>
      </c>
      <c r="E18" s="32"/>
      <c r="F18" s="20" t="s">
        <v>12</v>
      </c>
      <c r="G18" s="16"/>
      <c r="H18" s="16"/>
      <c r="I18" s="17">
        <f>Tabela21453749619715719320525[[#This Row],[Custo Projetado]]-Tabela21453749619715719320525[[#This Row],[Custo Real]]</f>
        <v>0</v>
      </c>
    </row>
    <row r="19" spans="1:9" x14ac:dyDescent="0.2">
      <c r="A19" s="20" t="s">
        <v>11</v>
      </c>
      <c r="B19" s="16"/>
      <c r="C19" s="16"/>
      <c r="D19" s="17">
        <f>Tabela11342638508614618219414[[#This Row],[Custo Projetado]]-Tabela11342638508614618219414[[#This Row],[Custo Real]]</f>
        <v>0</v>
      </c>
      <c r="E19" s="32"/>
      <c r="F19" s="20" t="s">
        <v>12</v>
      </c>
      <c r="G19" s="16"/>
      <c r="H19" s="16"/>
      <c r="I19" s="17">
        <f>Tabela21453749619715719320525[[#This Row],[Custo Projetado]]-Tabela21453749619715719320525[[#This Row],[Custo Real]]</f>
        <v>0</v>
      </c>
    </row>
    <row r="20" spans="1:9" x14ac:dyDescent="0.2">
      <c r="A20" s="20" t="s">
        <v>38</v>
      </c>
      <c r="B20" s="16">
        <v>1800</v>
      </c>
      <c r="C20" s="16"/>
      <c r="D20" s="17">
        <f>Tabela11342638508614618219414[[#This Row],[Custo Projetado]]-Tabela11342638508614618219414[[#This Row],[Custo Real]]</f>
        <v>1800</v>
      </c>
      <c r="E20" s="32"/>
      <c r="F20" s="13" t="s">
        <v>68</v>
      </c>
      <c r="G20" s="18">
        <f>SUBTOTAL(109,Tabela21453749619715719320525[Custo Projetado])</f>
        <v>150</v>
      </c>
      <c r="H20" s="16">
        <f>SUBTOTAL(109,Tabela21453749619715719320525[Custo Real])</f>
        <v>0</v>
      </c>
      <c r="I20" s="19">
        <f>SUBTOTAL(109,Tabela21453749619715719320525[Diferença])</f>
        <v>150</v>
      </c>
    </row>
    <row r="21" spans="1:9" x14ac:dyDescent="0.2">
      <c r="A21" s="13" t="s">
        <v>68</v>
      </c>
      <c r="B21" s="16">
        <f>SUBTOTAL(109,Tabela11342638508614618219414[Custo Projetado])</f>
        <v>4200</v>
      </c>
      <c r="C21" s="16">
        <f>SUBTOTAL(109,Tabela11342638508614618219414[Custo Real])</f>
        <v>0</v>
      </c>
      <c r="D21" s="19">
        <f>SUBTOTAL(109,Tabela11342638508614618219414[Diferença])</f>
        <v>4200</v>
      </c>
      <c r="E21" s="32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32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32"/>
      <c r="F23" s="20" t="s">
        <v>79</v>
      </c>
      <c r="G23" s="16"/>
      <c r="H23" s="16"/>
      <c r="I23" s="17">
        <f>Tabela81423446589415419020222[[#This Row],[Custo Projetado]]-Tabela81423446589415419020222[[#This Row],[Custo Real]]</f>
        <v>0</v>
      </c>
    </row>
    <row r="24" spans="1:9" x14ac:dyDescent="0.2">
      <c r="A24" s="20" t="s">
        <v>72</v>
      </c>
      <c r="B24" s="16"/>
      <c r="C24" s="16"/>
      <c r="D24" s="17">
        <f>Tabela31413345579315318920121[[#This Row],[Custo Projetado]]-Tabela31413345579315318920121[[#This Row],[Custo Real]]</f>
        <v>0</v>
      </c>
      <c r="E24" s="32"/>
      <c r="F24" s="20" t="s">
        <v>39</v>
      </c>
      <c r="G24" s="16"/>
      <c r="H24" s="16"/>
      <c r="I24" s="17">
        <f>Tabela81423446589415419020222[[#This Row],[Custo Projetado]]-Tabela81423446589415419020222[[#This Row],[Custo Real]]</f>
        <v>0</v>
      </c>
    </row>
    <row r="25" spans="1:9" x14ac:dyDescent="0.2">
      <c r="A25" s="20" t="s">
        <v>45</v>
      </c>
      <c r="B25" s="16"/>
      <c r="C25" s="16"/>
      <c r="D25" s="17">
        <f>Tabela31413345579315318920121[[#This Row],[Custo Projetado]]-Tabela31413345579315318920121[[#This Row],[Custo Real]]</f>
        <v>0</v>
      </c>
      <c r="E25" s="32"/>
      <c r="F25" s="20" t="s">
        <v>48</v>
      </c>
      <c r="G25" s="16">
        <v>142</v>
      </c>
      <c r="H25" s="16"/>
      <c r="I25" s="17">
        <f>Tabela81423446589415419020222[[#This Row],[Custo Projetado]]-Tabela81423446589415419020222[[#This Row],[Custo Real]]</f>
        <v>142</v>
      </c>
    </row>
    <row r="26" spans="1:9" x14ac:dyDescent="0.2">
      <c r="A26" s="20" t="s">
        <v>13</v>
      </c>
      <c r="B26" s="16">
        <v>85</v>
      </c>
      <c r="C26" s="16"/>
      <c r="D26" s="17">
        <f>Tabela31413345579315318920121[[#This Row],[Custo Projetado]]-Tabela31413345579315318920121[[#This Row],[Custo Real]]</f>
        <v>85</v>
      </c>
      <c r="E26" s="32"/>
      <c r="F26" s="20" t="s">
        <v>80</v>
      </c>
      <c r="G26" s="16">
        <v>650</v>
      </c>
      <c r="H26" s="16"/>
      <c r="I26" s="17">
        <f>Tabela81423446589415419020222[[#This Row],[Custo Projetado]]-Tabela81423446589415419020222[[#This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Tabela31413345579315318920121[[#This Row],[Custo Projetado]]-Tabela31413345579315318920121[[#This Row],[Custo Real]]</f>
        <v>86</v>
      </c>
      <c r="E27" s="32"/>
      <c r="F27" s="20" t="s">
        <v>48</v>
      </c>
      <c r="G27" s="16"/>
      <c r="H27" s="16"/>
      <c r="I27" s="17">
        <f>Tabela81423446589415419020222[[#This Row],[Custo Projetado]]-Tabela81423446589415419020222[[#This Row],[Custo Real]]</f>
        <v>0</v>
      </c>
    </row>
    <row r="28" spans="1:9" x14ac:dyDescent="0.2">
      <c r="A28" s="20" t="s">
        <v>75</v>
      </c>
      <c r="B28" s="24"/>
      <c r="C28" s="24"/>
      <c r="D28" s="25">
        <f>Tabela31413345579315318920121[[#This Row],[Custo Projetado]]-Tabela31413345579315318920121[[#This Row],[Custo Real]]</f>
        <v>0</v>
      </c>
      <c r="E28" s="32"/>
      <c r="F28" s="20" t="s">
        <v>12</v>
      </c>
      <c r="G28" s="16"/>
      <c r="H28" s="16"/>
      <c r="I28" s="17">
        <f>Tabela81423446589415419020222[[#This Row],[Custo Projetado]]-Tabela81423446589415419020222[[#This Row],[Custo Real]]</f>
        <v>0</v>
      </c>
    </row>
    <row r="29" spans="1:9" x14ac:dyDescent="0.2">
      <c r="A29" s="20" t="s">
        <v>14</v>
      </c>
      <c r="B29" s="16"/>
      <c r="C29" s="16"/>
      <c r="D29" s="17">
        <f>Tabela31413345579315318920121[[#This Row],[Custo Projetado]]-Tabela31413345579315318920121[[#This Row],[Custo Real]]</f>
        <v>0</v>
      </c>
      <c r="E29" s="32"/>
      <c r="F29" s="13" t="s">
        <v>68</v>
      </c>
      <c r="G29" s="16">
        <f>SUBTOTAL(109,Tabela81423446589415419020222[Custo Projetado])</f>
        <v>792</v>
      </c>
      <c r="H29" s="16">
        <f>SUBTOTAL(109,Tabela81423446589415419020222[Custo Real])</f>
        <v>0</v>
      </c>
      <c r="I29" s="19">
        <f>SUBTOTAL(109,Tabela81423446589415419020222[Diferença])</f>
        <v>792</v>
      </c>
    </row>
    <row r="30" spans="1:9" x14ac:dyDescent="0.2">
      <c r="A30" s="20" t="s">
        <v>15</v>
      </c>
      <c r="B30" s="16"/>
      <c r="C30" s="16"/>
      <c r="D30" s="17">
        <f>Tabela31413345579315318920121[[#This Row],[Custo Projetado]]-Tabela31413345579315318920121[[#This Row],[Custo Real]]</f>
        <v>0</v>
      </c>
      <c r="E30" s="32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Tabela31413345579315318920121[[#This Row],[Custo Projetado]]-Tabela31413345579315318920121[[#This Row],[Custo Real]]</f>
        <v>200</v>
      </c>
      <c r="E31" s="32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Tabela31413345579315318920121[[#This Row],[Custo Projetado]]-Tabela31413345579315318920121[[#This Row],[Custo Real]]</f>
        <v>0</v>
      </c>
      <c r="E32" s="32"/>
      <c r="F32" s="20" t="s">
        <v>34</v>
      </c>
      <c r="G32" s="16"/>
      <c r="H32" s="16"/>
      <c r="I32" s="17">
        <f>Tabela91403244569215218820020[[#This Row],[Custo Projetado]]-Tabela91403244569215218820020[[#This Row],[Custo Real]]</f>
        <v>0</v>
      </c>
    </row>
    <row r="33" spans="1:9" x14ac:dyDescent="0.2">
      <c r="A33" s="26" t="s">
        <v>68</v>
      </c>
      <c r="B33" s="27">
        <f>SUBTOTAL(109,Tabela31413345579315318920121[Custo Projetado])</f>
        <v>371</v>
      </c>
      <c r="C33" s="27">
        <f>SUBTOTAL(109,Tabela31413345579315318920121[Custo Real])</f>
        <v>0</v>
      </c>
      <c r="D33" s="28">
        <f>SUBTOTAL(109,Tabela31413345579315318920121[Diferença])</f>
        <v>371</v>
      </c>
      <c r="E33" s="32"/>
      <c r="F33" s="20" t="s">
        <v>35</v>
      </c>
      <c r="G33" s="16"/>
      <c r="H33" s="16"/>
      <c r="I33" s="17">
        <f>Tabela91403244569215218820020[[#This Row],[Custo Projetado]]-Tabela91403244569215218820020[[#This Row],[Custo Real]]</f>
        <v>0</v>
      </c>
    </row>
    <row r="34" spans="1:9" x14ac:dyDescent="0.2">
      <c r="A34" s="46"/>
      <c r="B34" s="46"/>
      <c r="C34" s="46"/>
      <c r="D34" s="46"/>
      <c r="E34" s="32"/>
      <c r="F34" s="20" t="s">
        <v>36</v>
      </c>
      <c r="G34" s="16"/>
      <c r="H34" s="16"/>
      <c r="I34" s="17">
        <f>Tabela91403244569215218820020[[#This Row],[Custo Projetado]]-Tabela91403244569215218820020[[#This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32"/>
      <c r="F35" s="20" t="s">
        <v>12</v>
      </c>
      <c r="G35" s="16"/>
      <c r="H35" s="16"/>
      <c r="I35" s="17">
        <f>Tabela91403244569215218820020[[#This Row],[Custo Projetado]]-Tabela91403244569215218820020[[#This Row],[Custo Real]]</f>
        <v>0</v>
      </c>
    </row>
    <row r="36" spans="1:9" x14ac:dyDescent="0.2">
      <c r="A36" s="20" t="s">
        <v>16</v>
      </c>
      <c r="B36" s="16"/>
      <c r="C36" s="16"/>
      <c r="D36" s="17">
        <f>Tabela41352739518714718319515[[#This Row],[Custo Projetado]]-Tabela41352739518714718319515[[#This Row],[Custo Real]]</f>
        <v>0</v>
      </c>
      <c r="E36" s="32"/>
      <c r="F36" s="13" t="s">
        <v>68</v>
      </c>
      <c r="G36" s="16">
        <f>SUBTOTAL(109,Tabela91403244569215218820020[Custo Projetado])</f>
        <v>0</v>
      </c>
      <c r="H36" s="16">
        <f>SUBTOTAL(109,Tabela91403244569215218820020[Custo Real])</f>
        <v>0</v>
      </c>
      <c r="I36" s="19">
        <f>SUBTOTAL(109,Tabela91403244569215218820020[Diferença])</f>
        <v>0</v>
      </c>
    </row>
    <row r="37" spans="1:9" x14ac:dyDescent="0.2">
      <c r="A37" s="20" t="s">
        <v>17</v>
      </c>
      <c r="B37" s="16"/>
      <c r="C37" s="16"/>
      <c r="D37" s="17">
        <f>Tabela41352739518714718319515[[#This Row],[Custo Projetado]]-Tabela41352739518714718319515[[#This Row],[Custo Real]]</f>
        <v>0</v>
      </c>
      <c r="E37" s="32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Tabela41352739518714718319515[[#This Row],[Custo Projetado]]-Tabela41352739518714718319515[[#This Row],[Custo Real]]</f>
        <v>0</v>
      </c>
      <c r="E38" s="32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Tabela41352739518714718319515[[#This Row],[Custo Projetado]]-Tabela41352739518714718319515[[#This Row],[Custo Real]]</f>
        <v>0</v>
      </c>
      <c r="E39" s="32"/>
      <c r="F39" s="20" t="s">
        <v>49</v>
      </c>
      <c r="G39" s="16"/>
      <c r="H39" s="16"/>
      <c r="I39" s="17">
        <f>Tabela101433547599515519120323[[#This Row],[Custo Projetado]]-Tabela101433547599515519120323[[#This Row],[Custo Real]]</f>
        <v>0</v>
      </c>
    </row>
    <row r="40" spans="1:9" x14ac:dyDescent="0.2">
      <c r="A40" s="13" t="s">
        <v>68</v>
      </c>
      <c r="B40" s="16">
        <f>SUBTOTAL(109,Tabela41352739518714718319515[Custo Projetado])</f>
        <v>0</v>
      </c>
      <c r="C40" s="16">
        <f>SUBTOTAL(109,Tabela41352739518714718319515[Custo Real])</f>
        <v>0</v>
      </c>
      <c r="D40" s="19">
        <f>SUBTOTAL(109,Tabela41352739518714718319515[Diferença])</f>
        <v>0</v>
      </c>
      <c r="E40" s="32"/>
      <c r="F40" s="20" t="s">
        <v>50</v>
      </c>
      <c r="G40" s="16"/>
      <c r="H40" s="16"/>
      <c r="I40" s="17">
        <f>Tabela101433547599515519120323[[#This Row],[Custo Projetado]]-Tabela101433547599515519120323[[#This Row],[Custo Real]]</f>
        <v>0</v>
      </c>
    </row>
    <row r="41" spans="1:9" x14ac:dyDescent="0.2">
      <c r="A41" s="46"/>
      <c r="B41" s="46"/>
      <c r="C41" s="46"/>
      <c r="D41" s="46"/>
      <c r="E41" s="32"/>
      <c r="F41" s="20" t="s">
        <v>12</v>
      </c>
      <c r="G41" s="16"/>
      <c r="H41" s="16"/>
      <c r="I41" s="17">
        <f>Tabela101433547599515519120323[[#This Row],[Custo Projetado]]-Tabela101433547599515519120323[[#This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32"/>
      <c r="F42" s="13" t="s">
        <v>68</v>
      </c>
      <c r="G42" s="16">
        <f>SUBTOTAL(109,Tabela101433547599515519120323[Custo Projetado])</f>
        <v>0</v>
      </c>
      <c r="H42" s="16">
        <f>SUBTOTAL(109,Tabela101433547599515519120323[Custo Real])</f>
        <v>0</v>
      </c>
      <c r="I42" s="19">
        <f>SUBTOTAL(109,Tabela101433547599515519120323[Diferença])</f>
        <v>0</v>
      </c>
    </row>
    <row r="43" spans="1:9" x14ac:dyDescent="0.2">
      <c r="A43" s="20" t="s">
        <v>19</v>
      </c>
      <c r="B43" s="16"/>
      <c r="C43" s="16"/>
      <c r="D43" s="17">
        <f>Tabela51393143559115118719919[[#This Row],[Custo Projetado]]-Tabela51393143559115118719919[[#This Row],[Custo Real]]</f>
        <v>0</v>
      </c>
      <c r="E43" s="32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Tabela51393143559115118719919[[#This Row],[Custo Projetado]]-Tabela51393143559115118719919[[#This Row],[Custo Real]]</f>
        <v>400</v>
      </c>
      <c r="E44" s="32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Tabela51393143559115118719919[[#This Row],[Custo Projetado]]-Tabela51393143559115118719919[[#This Row],[Custo Real]]</f>
        <v>0</v>
      </c>
      <c r="E45" s="32"/>
      <c r="F45" s="20" t="s">
        <v>73</v>
      </c>
      <c r="G45" s="16"/>
      <c r="H45" s="16"/>
      <c r="I45" s="17">
        <f>Tabela111383042549015018619818[[#This Row],[Custo Projetado]]-Tabela111383042549015018619818[[#This Row],[Custo Real]]</f>
        <v>0</v>
      </c>
    </row>
    <row r="46" spans="1:9" x14ac:dyDescent="0.2">
      <c r="A46" s="13" t="s">
        <v>68</v>
      </c>
      <c r="B46" s="16">
        <f>SUBTOTAL(109,Tabela51393143559115118719919[Custo Projetado])</f>
        <v>400</v>
      </c>
      <c r="C46" s="16">
        <f>SUBTOTAL(109,Tabela51393143559115118719919[Custo Real])</f>
        <v>0</v>
      </c>
      <c r="D46" s="19">
        <f>SUBTOTAL(109,Tabela51393143559115118719919[Diferença])</f>
        <v>400</v>
      </c>
      <c r="E46" s="32"/>
      <c r="F46" s="20" t="s">
        <v>74</v>
      </c>
      <c r="G46" s="16"/>
      <c r="H46" s="16"/>
      <c r="I46" s="17">
        <f>Tabela111383042549015018619818[[#This Row],[Custo Projetado]]-Tabela111383042549015018619818[[#This Row],[Custo Real]]</f>
        <v>0</v>
      </c>
    </row>
    <row r="47" spans="1:9" x14ac:dyDescent="0.2">
      <c r="A47" s="46"/>
      <c r="B47" s="46"/>
      <c r="C47" s="46"/>
      <c r="D47" s="46"/>
      <c r="E47" s="32"/>
      <c r="F47" s="20" t="s">
        <v>43</v>
      </c>
      <c r="G47" s="16"/>
      <c r="H47" s="16"/>
      <c r="I47" s="17">
        <f>Tabela111383042549015018619818[[#This Row],[Custo Projetado]]-Tabela111383042549015018619818[[#This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32"/>
      <c r="F48" s="13" t="s">
        <v>68</v>
      </c>
      <c r="G48" s="16">
        <f>SUBTOTAL(109,Tabela111383042549015018619818[Custo Projetado])</f>
        <v>0</v>
      </c>
      <c r="H48" s="16">
        <f>SUBTOTAL(109,Tabela111383042549015018619818[Custo Real])</f>
        <v>0</v>
      </c>
      <c r="I48" s="19">
        <f>SUBTOTAL(109,Tabela111383042549015018619818[Diferença])</f>
        <v>0</v>
      </c>
    </row>
    <row r="49" spans="1:9" x14ac:dyDescent="0.2">
      <c r="A49" s="20" t="s">
        <v>20</v>
      </c>
      <c r="B49" s="16"/>
      <c r="C49" s="16"/>
      <c r="D49" s="17">
        <f>Tabela61372941538914918519717[[#This Row],[Custo Projetado]]-Tabela61372941538914918519717[[#This Row],[Custo Real]]</f>
        <v>0</v>
      </c>
      <c r="E49" s="32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Tabela61372941538914918519717[[#This Row],[Custo Projetado]]-Tabela61372941538914918519717[[#This Row],[Custo Real]]</f>
        <v>0</v>
      </c>
      <c r="E50" s="32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Tabela61372941538914918519717[[#This Row],[Custo Projetado]]-Tabela61372941538914918519717[[#This Row],[Custo Real]]</f>
        <v>0</v>
      </c>
      <c r="E51" s="32"/>
      <c r="F51" s="20" t="s">
        <v>37</v>
      </c>
      <c r="G51" s="16"/>
      <c r="H51" s="16"/>
      <c r="I51" s="17">
        <f>Tabela121362840528814818419616[[#This Row],[Custo Projetado]]-Tabela121362840528814818419616[[#This Row],[Custo Real]]</f>
        <v>0</v>
      </c>
    </row>
    <row r="52" spans="1:9" x14ac:dyDescent="0.2">
      <c r="A52" s="20" t="s">
        <v>21</v>
      </c>
      <c r="B52" s="16"/>
      <c r="C52" s="16"/>
      <c r="D52" s="17">
        <f>Tabela61372941538914918519717[[#This Row],[Custo Projetado]]-Tabela61372941538914918519717[[#This Row],[Custo Real]]</f>
        <v>0</v>
      </c>
      <c r="E52" s="32"/>
      <c r="F52" s="20" t="s">
        <v>38</v>
      </c>
      <c r="G52" s="16"/>
      <c r="H52" s="16"/>
      <c r="I52" s="17">
        <f>Tabela121362840528814818419616[[#This Row],[Custo Projetado]]-Tabela121362840528814818419616[[#This Row],[Custo Real]]</f>
        <v>0</v>
      </c>
    </row>
    <row r="53" spans="1:9" x14ac:dyDescent="0.2">
      <c r="A53" s="20" t="s">
        <v>12</v>
      </c>
      <c r="B53" s="16"/>
      <c r="C53" s="16"/>
      <c r="D53" s="17">
        <f>Tabela61372941538914918519717[[#This Row],[Custo Projetado]]-Tabela61372941538914918519717[[#This Row],[Custo Real]]</f>
        <v>0</v>
      </c>
      <c r="E53" s="32"/>
      <c r="F53" s="20" t="s">
        <v>44</v>
      </c>
      <c r="G53" s="16"/>
      <c r="H53" s="16"/>
      <c r="I53" s="17">
        <f>Tabela121362840528814818419616[[#This Row],[Custo Projetado]]-Tabela121362840528814818419616[[#This Row],[Custo Real]]</f>
        <v>0</v>
      </c>
    </row>
    <row r="54" spans="1:9" x14ac:dyDescent="0.2">
      <c r="A54" s="13" t="s">
        <v>68</v>
      </c>
      <c r="B54" s="16">
        <f>SUBTOTAL(109,Tabela61372941538914918519717[Custo Projetado])</f>
        <v>0</v>
      </c>
      <c r="C54" s="16">
        <f>SUBTOTAL(109,Tabela61372941538914918519717[Custo Real])</f>
        <v>0</v>
      </c>
      <c r="D54" s="19">
        <f>SUBTOTAL(109,Tabela61372941538914918519717[Diferença])</f>
        <v>0</v>
      </c>
      <c r="E54" s="32"/>
      <c r="F54" s="20" t="s">
        <v>12</v>
      </c>
      <c r="G54" s="16"/>
      <c r="H54" s="16"/>
      <c r="I54" s="17">
        <f>Tabela121362840528814818419616[[#This Row],[Custo Projetado]]-Tabela121362840528814818419616[[#This Row],[Custo Real]]</f>
        <v>0</v>
      </c>
    </row>
    <row r="55" spans="1:9" x14ac:dyDescent="0.2">
      <c r="A55" s="46"/>
      <c r="B55" s="46"/>
      <c r="C55" s="46"/>
      <c r="D55" s="46"/>
      <c r="E55" s="32"/>
      <c r="F55" s="13" t="s">
        <v>68</v>
      </c>
      <c r="G55" s="16">
        <f>SUBTOTAL(109,Tabela121362840528814818419616[Custo Projetado])</f>
        <v>0</v>
      </c>
      <c r="H55" s="16">
        <f>SUBTOTAL(109,Tabela121362840528814818419616[Custo Real])</f>
        <v>0</v>
      </c>
      <c r="I55" s="19">
        <f>SUBTOTAL(109,Tabela121362840528814818419616[Diferença])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Tabela71443648609615619220424[[#This Row],[Custo Projetado]]-Tabela71443648609615619220424[[#This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6633</v>
      </c>
    </row>
    <row r="58" spans="1:9" x14ac:dyDescent="0.2">
      <c r="A58" s="20" t="s">
        <v>25</v>
      </c>
      <c r="B58" s="16">
        <v>100</v>
      </c>
      <c r="C58" s="16"/>
      <c r="D58" s="17">
        <f>Tabela71443648609615619220424[[#This Row],[Custo Projetado]]-Tabela71443648609615619220424[[#This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Tabela71443648609615619220424[[#This Row],[Custo Projetado]]-Tabela71443648609615619220424[[#This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Tabela71443648609615619220424[[#This Row],[Custo Projetado]]-Tabela71443648609615619220424[[#This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Tabela71443648609615619220424[[#This Row],[Custo Projetado]]-Tabela71443648609615619220424[[#This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6633</v>
      </c>
    </row>
    <row r="62" spans="1:9" x14ac:dyDescent="0.2">
      <c r="A62" s="20" t="s">
        <v>81</v>
      </c>
      <c r="B62" s="16">
        <v>470</v>
      </c>
      <c r="C62" s="16"/>
      <c r="D62" s="17">
        <f>Tabela71443648609615619220424[[#This Row],[Custo Projetado]]-Tabela71443648609615619220424[[#This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Tabela71443648609615619220424[[#This Row],[Custo Projetado]]-Tabela71443648609615619220424[[#This Row],[Custo Real]]</f>
        <v>0</v>
      </c>
    </row>
    <row r="64" spans="1:9" x14ac:dyDescent="0.2">
      <c r="A64" s="13" t="s">
        <v>68</v>
      </c>
      <c r="B64" s="16">
        <f>SUBTOTAL(109,Tabela71443648609615619220424[Custo Projetado])</f>
        <v>720</v>
      </c>
      <c r="C64" s="16">
        <f>SUBTOTAL(109,Tabela71443648609615619220424[Custo Real])</f>
        <v>0</v>
      </c>
      <c r="D64" s="19">
        <f>SUBTOTAL(109,Tabela71443648609615619220424[Diferença])</f>
        <v>720</v>
      </c>
    </row>
  </sheetData>
  <mergeCells count="33">
    <mergeCell ref="F59:H60"/>
    <mergeCell ref="I59:I60"/>
    <mergeCell ref="F61:H62"/>
    <mergeCell ref="I61:I62"/>
    <mergeCell ref="F43:I43"/>
    <mergeCell ref="A47:D47"/>
    <mergeCell ref="F49:I49"/>
    <mergeCell ref="A55:D55"/>
    <mergeCell ref="F56:I56"/>
    <mergeCell ref="F57:H58"/>
    <mergeCell ref="I57:I58"/>
    <mergeCell ref="F21:I21"/>
    <mergeCell ref="A22:D22"/>
    <mergeCell ref="F30:I30"/>
    <mergeCell ref="A34:D34"/>
    <mergeCell ref="F37:I37"/>
    <mergeCell ref="A41:D41"/>
    <mergeCell ref="A6:A8"/>
    <mergeCell ref="B6:C6"/>
    <mergeCell ref="B7:C7"/>
    <mergeCell ref="F7:H8"/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F521-1AC6-4187-A1EB-D9678854E486}">
  <dimension ref="A1:I64"/>
  <sheetViews>
    <sheetView topLeftCell="A19" workbookViewId="0">
      <selection activeCell="B21" sqref="B21"/>
    </sheetView>
  </sheetViews>
  <sheetFormatPr defaultRowHeight="12.75" x14ac:dyDescent="0.2"/>
  <cols>
    <col min="1" max="1" width="30.140625" customWidth="1"/>
    <col min="2" max="2" width="16.5703125" customWidth="1"/>
    <col min="3" max="3" width="13.42578125" customWidth="1"/>
    <col min="4" max="4" width="12.5703125" customWidth="1"/>
    <col min="5" max="5" width="2.85546875" customWidth="1"/>
    <col min="6" max="6" width="29.28515625" customWidth="1"/>
    <col min="7" max="7" width="16.5703125" customWidth="1"/>
    <col min="8" max="8" width="13.42578125" customWidth="1"/>
    <col min="9" max="9" width="12.5703125" customWidth="1"/>
  </cols>
  <sheetData>
    <row r="1" spans="1:9" ht="33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6"/>
      <c r="B2" s="36"/>
      <c r="C2" s="36"/>
      <c r="D2" s="1"/>
      <c r="E2" s="2"/>
      <c r="F2" s="1"/>
      <c r="G2" s="3"/>
      <c r="H2" s="4"/>
      <c r="I2" s="5"/>
    </row>
    <row r="3" spans="1:9" x14ac:dyDescent="0.2">
      <c r="A3" s="37" t="s">
        <v>64</v>
      </c>
      <c r="B3" s="40" t="s">
        <v>3</v>
      </c>
      <c r="C3" s="41"/>
      <c r="D3" s="12">
        <v>8600</v>
      </c>
      <c r="E3" s="2"/>
      <c r="F3" s="42" t="s">
        <v>69</v>
      </c>
      <c r="G3" s="42"/>
      <c r="H3" s="42"/>
      <c r="I3" s="43">
        <f>D5-I57</f>
        <v>1967</v>
      </c>
    </row>
    <row r="4" spans="1:9" x14ac:dyDescent="0.2">
      <c r="A4" s="38"/>
      <c r="B4" s="40" t="s">
        <v>41</v>
      </c>
      <c r="C4" s="41"/>
      <c r="D4" s="12"/>
      <c r="E4" s="2"/>
      <c r="F4" s="42"/>
      <c r="G4" s="42"/>
      <c r="H4" s="42"/>
      <c r="I4" s="43"/>
    </row>
    <row r="5" spans="1:9" x14ac:dyDescent="0.2">
      <c r="A5" s="39"/>
      <c r="B5" s="44" t="s">
        <v>42</v>
      </c>
      <c r="C5" s="45"/>
      <c r="D5" s="30">
        <v>8600</v>
      </c>
      <c r="E5" s="2"/>
      <c r="F5" s="42" t="s">
        <v>70</v>
      </c>
      <c r="G5" s="42"/>
      <c r="H5" s="42"/>
      <c r="I5" s="43">
        <f>D8-I59</f>
        <v>0</v>
      </c>
    </row>
    <row r="6" spans="1:9" x14ac:dyDescent="0.2">
      <c r="A6" s="37" t="s">
        <v>63</v>
      </c>
      <c r="B6" s="40" t="s">
        <v>3</v>
      </c>
      <c r="C6" s="41"/>
      <c r="D6" s="12"/>
      <c r="E6" s="2"/>
      <c r="F6" s="42"/>
      <c r="G6" s="42"/>
      <c r="H6" s="42"/>
      <c r="I6" s="43"/>
    </row>
    <row r="7" spans="1:9" x14ac:dyDescent="0.2">
      <c r="A7" s="38"/>
      <c r="B7" s="40" t="s">
        <v>41</v>
      </c>
      <c r="C7" s="41"/>
      <c r="D7" s="12"/>
      <c r="E7" s="2"/>
      <c r="F7" s="42" t="s">
        <v>71</v>
      </c>
      <c r="G7" s="42"/>
      <c r="H7" s="42"/>
      <c r="I7" s="43">
        <f>I5-I3</f>
        <v>-1967</v>
      </c>
    </row>
    <row r="8" spans="1:9" x14ac:dyDescent="0.2">
      <c r="A8" s="39"/>
      <c r="B8" s="44" t="s">
        <v>42</v>
      </c>
      <c r="C8" s="45"/>
      <c r="D8" s="30">
        <f>SUM(D6:D7)</f>
        <v>0</v>
      </c>
      <c r="E8" s="2"/>
      <c r="F8" s="42"/>
      <c r="G8" s="42"/>
      <c r="H8" s="42"/>
      <c r="I8" s="43"/>
    </row>
    <row r="9" spans="1:9" x14ac:dyDescent="0.2">
      <c r="A9" s="31"/>
      <c r="B9" s="31"/>
      <c r="C9" s="6"/>
      <c r="D9" s="7"/>
      <c r="E9" s="2"/>
      <c r="F9" s="8"/>
      <c r="G9" s="8"/>
      <c r="H9" s="8"/>
      <c r="I9" s="9"/>
    </row>
    <row r="10" spans="1:9" x14ac:dyDescent="0.2">
      <c r="A10" s="13" t="s">
        <v>51</v>
      </c>
      <c r="B10" s="14" t="s">
        <v>0</v>
      </c>
      <c r="C10" s="14" t="s">
        <v>1</v>
      </c>
      <c r="D10" s="15" t="s">
        <v>2</v>
      </c>
      <c r="E10" s="11"/>
      <c r="F10" s="13" t="s">
        <v>52</v>
      </c>
      <c r="G10" s="14" t="s">
        <v>0</v>
      </c>
      <c r="H10" s="14" t="s">
        <v>1</v>
      </c>
      <c r="I10" s="15" t="s">
        <v>2</v>
      </c>
    </row>
    <row r="11" spans="1:9" x14ac:dyDescent="0.2">
      <c r="A11" s="20" t="s">
        <v>4</v>
      </c>
      <c r="B11" s="16">
        <v>1900</v>
      </c>
      <c r="C11" s="16"/>
      <c r="D11" s="17">
        <f>Tabela113426385086146182194[[#This Row],[Custo Projetado]]-Tabela113426385086146182194[[#This Row],[Custo Real]]</f>
        <v>1900</v>
      </c>
      <c r="E11" s="29"/>
      <c r="F11" s="20" t="s">
        <v>28</v>
      </c>
      <c r="G11" s="16">
        <v>0</v>
      </c>
      <c r="H11" s="16"/>
      <c r="I11" s="17">
        <f>Tabela214537496197157193205[[#This Row],[Custo Projetado]]-Tabela214537496197157193205[[#This Row],[Custo Real]]</f>
        <v>0</v>
      </c>
    </row>
    <row r="12" spans="1:9" x14ac:dyDescent="0.2">
      <c r="A12" s="20" t="s">
        <v>5</v>
      </c>
      <c r="B12" s="16">
        <v>100</v>
      </c>
      <c r="C12" s="16"/>
      <c r="D12" s="17">
        <f>Tabela113426385086146182194[[#This Row],[Custo Projetado]]-Tabela113426385086146182194[[#This Row],[Custo Real]]</f>
        <v>100</v>
      </c>
      <c r="E12" s="29"/>
      <c r="F12" s="20" t="s">
        <v>29</v>
      </c>
      <c r="G12" s="16"/>
      <c r="H12" s="16"/>
      <c r="I12" s="17">
        <f>Tabela214537496197157193205[[#This Row],[Custo Projetado]]-Tabela214537496197157193205[[#This Row],[Custo Real]]</f>
        <v>0</v>
      </c>
    </row>
    <row r="13" spans="1:9" x14ac:dyDescent="0.2">
      <c r="A13" s="20" t="s">
        <v>46</v>
      </c>
      <c r="B13" s="16"/>
      <c r="C13" s="16"/>
      <c r="D13" s="17">
        <f>Tabela113426385086146182194[[#This Row],[Custo Projetado]]-Tabela113426385086146182194[[#This Row],[Custo Real]]</f>
        <v>0</v>
      </c>
      <c r="E13" s="29"/>
      <c r="F13" s="20" t="s">
        <v>30</v>
      </c>
      <c r="G13" s="16"/>
      <c r="H13" s="16"/>
      <c r="I13" s="17">
        <f>Tabela214537496197157193205[[#This Row],[Custo Projetado]]-Tabela214537496197157193205[[#This Row],[Custo Real]]</f>
        <v>0</v>
      </c>
    </row>
    <row r="14" spans="1:9" x14ac:dyDescent="0.2">
      <c r="A14" s="20" t="s">
        <v>6</v>
      </c>
      <c r="B14" s="16">
        <v>400</v>
      </c>
      <c r="C14" s="16"/>
      <c r="D14" s="17">
        <f>Tabela113426385086146182194[[#This Row],[Custo Projetado]]-Tabela113426385086146182194[[#This Row],[Custo Real]]</f>
        <v>400</v>
      </c>
      <c r="E14" s="29"/>
      <c r="F14" s="20" t="s">
        <v>31</v>
      </c>
      <c r="G14" s="16"/>
      <c r="H14" s="16"/>
      <c r="I14" s="17">
        <f>Tabela214537496197157193205[[#This Row],[Custo Projetado]]-Tabela214537496197157193205[[#This Row],[Custo Real]]</f>
        <v>0</v>
      </c>
    </row>
    <row r="15" spans="1:9" x14ac:dyDescent="0.2">
      <c r="A15" s="20" t="s">
        <v>7</v>
      </c>
      <c r="B15" s="16"/>
      <c r="C15" s="16"/>
      <c r="D15" s="17">
        <f>Tabela113426385086146182194[[#This Row],[Custo Projetado]]-Tabela113426385086146182194[[#This Row],[Custo Real]]</f>
        <v>0</v>
      </c>
      <c r="E15" s="29"/>
      <c r="F15" s="20" t="s">
        <v>47</v>
      </c>
      <c r="G15" s="16">
        <v>150</v>
      </c>
      <c r="H15" s="16"/>
      <c r="I15" s="17">
        <f>Tabela214537496197157193205[[#This Row],[Custo Projetado]]-Tabela214537496197157193205[[#This Row],[Custo Real]]</f>
        <v>150</v>
      </c>
    </row>
    <row r="16" spans="1:9" x14ac:dyDescent="0.2">
      <c r="A16" s="20" t="s">
        <v>8</v>
      </c>
      <c r="B16" s="16"/>
      <c r="C16" s="16"/>
      <c r="D16" s="17">
        <f>Tabela113426385086146182194[[#This Row],[Custo Projetado]]-Tabela113426385086146182194[[#This Row],[Custo Real]]</f>
        <v>0</v>
      </c>
      <c r="E16" s="29"/>
      <c r="F16" s="20" t="s">
        <v>32</v>
      </c>
      <c r="G16" s="16"/>
      <c r="H16" s="16"/>
      <c r="I16" s="17">
        <f>Tabela214537496197157193205[[#This Row],[Custo Projetado]]-Tabela214537496197157193205[[#This Row],[Custo Real]]</f>
        <v>0</v>
      </c>
    </row>
    <row r="17" spans="1:9" x14ac:dyDescent="0.2">
      <c r="A17" s="20" t="s">
        <v>9</v>
      </c>
      <c r="B17" s="16"/>
      <c r="C17" s="16"/>
      <c r="D17" s="17">
        <f>Tabela113426385086146182194[[#This Row],[Custo Projetado]]-Tabela113426385086146182194[[#This Row],[Custo Real]]</f>
        <v>0</v>
      </c>
      <c r="E17" s="29"/>
      <c r="F17" s="20" t="s">
        <v>12</v>
      </c>
      <c r="G17" s="16"/>
      <c r="H17" s="16"/>
      <c r="I17" s="17">
        <f>Tabela214537496197157193205[[#This Row],[Custo Projetado]]-Tabela214537496197157193205[[#This Row],[Custo Real]]</f>
        <v>0</v>
      </c>
    </row>
    <row r="18" spans="1:9" x14ac:dyDescent="0.2">
      <c r="A18" s="20" t="s">
        <v>10</v>
      </c>
      <c r="B18" s="16"/>
      <c r="C18" s="16"/>
      <c r="D18" s="17">
        <f>Tabela113426385086146182194[[#This Row],[Custo Projetado]]-Tabela113426385086146182194[[#This Row],[Custo Real]]</f>
        <v>0</v>
      </c>
      <c r="E18" s="29"/>
      <c r="F18" s="20" t="s">
        <v>12</v>
      </c>
      <c r="G18" s="16"/>
      <c r="H18" s="16"/>
      <c r="I18" s="17">
        <f>Tabela214537496197157193205[[#This Row],[Custo Projetado]]-Tabela214537496197157193205[[#This Row],[Custo Real]]</f>
        <v>0</v>
      </c>
    </row>
    <row r="19" spans="1:9" x14ac:dyDescent="0.2">
      <c r="A19" s="20" t="s">
        <v>11</v>
      </c>
      <c r="B19" s="16"/>
      <c r="C19" s="16"/>
      <c r="D19" s="17">
        <f>Tabela113426385086146182194[[#This Row],[Custo Projetado]]-Tabela113426385086146182194[[#This Row],[Custo Real]]</f>
        <v>0</v>
      </c>
      <c r="E19" s="29"/>
      <c r="F19" s="20" t="s">
        <v>12</v>
      </c>
      <c r="G19" s="16"/>
      <c r="H19" s="16"/>
      <c r="I19" s="17">
        <f>Tabela214537496197157193205[[#This Row],[Custo Projetado]]-Tabela214537496197157193205[[#This Row],[Custo Real]]</f>
        <v>0</v>
      </c>
    </row>
    <row r="20" spans="1:9" x14ac:dyDescent="0.2">
      <c r="A20" s="20" t="s">
        <v>38</v>
      </c>
      <c r="B20" s="16">
        <v>1800</v>
      </c>
      <c r="C20" s="16"/>
      <c r="D20" s="17">
        <f>Tabela113426385086146182194[[#This Row],[Custo Projetado]]-Tabela113426385086146182194[[#This Row],[Custo Real]]</f>
        <v>1800</v>
      </c>
      <c r="E20" s="29"/>
      <c r="F20" s="13" t="s">
        <v>68</v>
      </c>
      <c r="G20" s="18">
        <f>SUBTOTAL(109,Tabela214537496197157193205[Custo Projetado])</f>
        <v>150</v>
      </c>
      <c r="H20" s="16">
        <f>SUBTOTAL(109,Tabela214537496197157193205[Custo Real])</f>
        <v>0</v>
      </c>
      <c r="I20" s="19">
        <f>SUBTOTAL(109,Tabela214537496197157193205[Diferença])</f>
        <v>150</v>
      </c>
    </row>
    <row r="21" spans="1:9" x14ac:dyDescent="0.2">
      <c r="A21" s="13" t="s">
        <v>68</v>
      </c>
      <c r="B21" s="16">
        <f>SUBTOTAL(109,Tabela113426385086146182194[Custo Projetado])</f>
        <v>4200</v>
      </c>
      <c r="C21" s="16">
        <f>SUBTOTAL(109,Tabela113426385086146182194[Custo Real])</f>
        <v>0</v>
      </c>
      <c r="D21" s="19">
        <f>SUBTOTAL(109,Tabela113426385086146182194[Diferença])</f>
        <v>4200</v>
      </c>
      <c r="E21" s="29"/>
      <c r="F21" s="47"/>
      <c r="G21" s="47"/>
      <c r="H21" s="47"/>
      <c r="I21" s="47"/>
    </row>
    <row r="22" spans="1:9" x14ac:dyDescent="0.2">
      <c r="A22" s="46"/>
      <c r="B22" s="46"/>
      <c r="C22" s="46"/>
      <c r="D22" s="46"/>
      <c r="E22" s="29"/>
      <c r="F22" s="13" t="s">
        <v>53</v>
      </c>
      <c r="G22" s="14" t="s">
        <v>0</v>
      </c>
      <c r="H22" s="14" t="s">
        <v>1</v>
      </c>
      <c r="I22" s="15" t="s">
        <v>2</v>
      </c>
    </row>
    <row r="23" spans="1:9" x14ac:dyDescent="0.2">
      <c r="A23" s="13" t="s">
        <v>54</v>
      </c>
      <c r="B23" s="14" t="s">
        <v>0</v>
      </c>
      <c r="C23" s="14" t="s">
        <v>1</v>
      </c>
      <c r="D23" s="15" t="s">
        <v>2</v>
      </c>
      <c r="E23" s="29"/>
      <c r="F23" s="20" t="s">
        <v>79</v>
      </c>
      <c r="G23" s="16"/>
      <c r="H23" s="16"/>
      <c r="I23" s="17">
        <f>Tabela814234465894154190202[[#This Row],[Custo Projetado]]-Tabela814234465894154190202[[#This Row],[Custo Real]]</f>
        <v>0</v>
      </c>
    </row>
    <row r="24" spans="1:9" x14ac:dyDescent="0.2">
      <c r="A24" s="20" t="s">
        <v>72</v>
      </c>
      <c r="B24" s="16"/>
      <c r="C24" s="16"/>
      <c r="D24" s="17">
        <f>Tabela314133455793153189201[[#This Row],[Custo Projetado]]-Tabela314133455793153189201[[#This Row],[Custo Real]]</f>
        <v>0</v>
      </c>
      <c r="E24" s="29"/>
      <c r="F24" s="20" t="s">
        <v>39</v>
      </c>
      <c r="G24" s="16"/>
      <c r="H24" s="16"/>
      <c r="I24" s="17">
        <f>Tabela814234465894154190202[[#This Row],[Custo Projetado]]-Tabela814234465894154190202[[#This Row],[Custo Real]]</f>
        <v>0</v>
      </c>
    </row>
    <row r="25" spans="1:9" x14ac:dyDescent="0.2">
      <c r="A25" s="20" t="s">
        <v>45</v>
      </c>
      <c r="B25" s="16"/>
      <c r="C25" s="16"/>
      <c r="D25" s="17">
        <f>Tabela314133455793153189201[[#This Row],[Custo Projetado]]-Tabela314133455793153189201[[#This Row],[Custo Real]]</f>
        <v>0</v>
      </c>
      <c r="E25" s="29"/>
      <c r="F25" s="20" t="s">
        <v>48</v>
      </c>
      <c r="G25" s="16">
        <v>142</v>
      </c>
      <c r="H25" s="16"/>
      <c r="I25" s="17">
        <f>Tabela814234465894154190202[[#This Row],[Custo Projetado]]-Tabela814234465894154190202[[#This Row],[Custo Real]]</f>
        <v>142</v>
      </c>
    </row>
    <row r="26" spans="1:9" x14ac:dyDescent="0.2">
      <c r="A26" s="20" t="s">
        <v>13</v>
      </c>
      <c r="B26" s="16">
        <v>85</v>
      </c>
      <c r="C26" s="16"/>
      <c r="D26" s="17">
        <f>Tabela314133455793153189201[[#This Row],[Custo Projetado]]-Tabela314133455793153189201[[#This Row],[Custo Real]]</f>
        <v>85</v>
      </c>
      <c r="E26" s="29"/>
      <c r="F26" s="20" t="s">
        <v>80</v>
      </c>
      <c r="G26" s="16">
        <v>650</v>
      </c>
      <c r="H26" s="16"/>
      <c r="I26" s="17">
        <f>Tabela814234465894154190202[[#This Row],[Custo Projetado]]-Tabela814234465894154190202[[#This Row],[Custo Real]]</f>
        <v>650</v>
      </c>
    </row>
    <row r="27" spans="1:9" x14ac:dyDescent="0.2">
      <c r="A27" s="20" t="s">
        <v>76</v>
      </c>
      <c r="B27" s="24">
        <v>86</v>
      </c>
      <c r="C27" s="16"/>
      <c r="D27" s="17">
        <f>Tabela314133455793153189201[[#This Row],[Custo Projetado]]-Tabela314133455793153189201[[#This Row],[Custo Real]]</f>
        <v>86</v>
      </c>
      <c r="E27" s="29"/>
      <c r="F27" s="20" t="s">
        <v>48</v>
      </c>
      <c r="G27" s="16"/>
      <c r="H27" s="16"/>
      <c r="I27" s="17">
        <f>Tabela814234465894154190202[[#This Row],[Custo Projetado]]-Tabela814234465894154190202[[#This Row],[Custo Real]]</f>
        <v>0</v>
      </c>
    </row>
    <row r="28" spans="1:9" x14ac:dyDescent="0.2">
      <c r="A28" s="20" t="s">
        <v>75</v>
      </c>
      <c r="B28" s="24"/>
      <c r="C28" s="24"/>
      <c r="D28" s="25">
        <f>Tabela314133455793153189201[[#This Row],[Custo Projetado]]-Tabela314133455793153189201[[#This Row],[Custo Real]]</f>
        <v>0</v>
      </c>
      <c r="E28" s="29"/>
      <c r="F28" s="20" t="s">
        <v>12</v>
      </c>
      <c r="G28" s="16"/>
      <c r="H28" s="16"/>
      <c r="I28" s="17">
        <f>Tabela814234465894154190202[[#This Row],[Custo Projetado]]-Tabela814234465894154190202[[#This Row],[Custo Real]]</f>
        <v>0</v>
      </c>
    </row>
    <row r="29" spans="1:9" x14ac:dyDescent="0.2">
      <c r="A29" s="20" t="s">
        <v>14</v>
      </c>
      <c r="B29" s="16"/>
      <c r="C29" s="16"/>
      <c r="D29" s="17">
        <f>Tabela314133455793153189201[[#This Row],[Custo Projetado]]-Tabela314133455793153189201[[#This Row],[Custo Real]]</f>
        <v>0</v>
      </c>
      <c r="E29" s="29"/>
      <c r="F29" s="13" t="s">
        <v>68</v>
      </c>
      <c r="G29" s="16">
        <f>SUBTOTAL(109,Tabela814234465894154190202[Custo Projetado])</f>
        <v>792</v>
      </c>
      <c r="H29" s="16">
        <f>SUBTOTAL(109,Tabela814234465894154190202[Custo Real])</f>
        <v>0</v>
      </c>
      <c r="I29" s="19">
        <f>SUBTOTAL(109,Tabela814234465894154190202[Diferença])</f>
        <v>792</v>
      </c>
    </row>
    <row r="30" spans="1:9" x14ac:dyDescent="0.2">
      <c r="A30" s="20" t="s">
        <v>15</v>
      </c>
      <c r="B30" s="16"/>
      <c r="C30" s="16"/>
      <c r="D30" s="17">
        <f>Tabela314133455793153189201[[#This Row],[Custo Projetado]]-Tabela314133455793153189201[[#This Row],[Custo Real]]</f>
        <v>0</v>
      </c>
      <c r="E30" s="29"/>
      <c r="F30" s="46"/>
      <c r="G30" s="46"/>
      <c r="H30" s="46"/>
      <c r="I30" s="46"/>
    </row>
    <row r="31" spans="1:9" x14ac:dyDescent="0.2">
      <c r="A31" s="20" t="s">
        <v>77</v>
      </c>
      <c r="B31" s="16">
        <v>200</v>
      </c>
      <c r="C31" s="16"/>
      <c r="D31" s="17">
        <f>Tabela314133455793153189201[[#This Row],[Custo Projetado]]-Tabela314133455793153189201[[#This Row],[Custo Real]]</f>
        <v>200</v>
      </c>
      <c r="E31" s="29"/>
      <c r="F31" s="13" t="s">
        <v>55</v>
      </c>
      <c r="G31" s="14" t="s">
        <v>0</v>
      </c>
      <c r="H31" s="14" t="s">
        <v>1</v>
      </c>
      <c r="I31" s="15" t="s">
        <v>2</v>
      </c>
    </row>
    <row r="32" spans="1:9" x14ac:dyDescent="0.2">
      <c r="A32" s="20" t="s">
        <v>78</v>
      </c>
      <c r="B32" s="24"/>
      <c r="C32" s="24"/>
      <c r="D32" s="25">
        <f>Tabela314133455793153189201[[#This Row],[Custo Projetado]]-Tabela314133455793153189201[[#This Row],[Custo Real]]</f>
        <v>0</v>
      </c>
      <c r="E32" s="29"/>
      <c r="F32" s="20" t="s">
        <v>34</v>
      </c>
      <c r="G32" s="16"/>
      <c r="H32" s="16"/>
      <c r="I32" s="17">
        <f>Tabela914032445692152188200[[#This Row],[Custo Projetado]]-Tabela914032445692152188200[[#This Row],[Custo Real]]</f>
        <v>0</v>
      </c>
    </row>
    <row r="33" spans="1:9" x14ac:dyDescent="0.2">
      <c r="A33" s="26" t="s">
        <v>68</v>
      </c>
      <c r="B33" s="27">
        <f>SUBTOTAL(109,Tabela314133455793153189201[Custo Projetado])</f>
        <v>371</v>
      </c>
      <c r="C33" s="27">
        <f>SUBTOTAL(109,Tabela314133455793153189201[Custo Real])</f>
        <v>0</v>
      </c>
      <c r="D33" s="28">
        <f>SUBTOTAL(109,Tabela314133455793153189201[Diferença])</f>
        <v>371</v>
      </c>
      <c r="E33" s="29"/>
      <c r="F33" s="20" t="s">
        <v>35</v>
      </c>
      <c r="G33" s="16"/>
      <c r="H33" s="16"/>
      <c r="I33" s="17">
        <f>Tabela914032445692152188200[[#This Row],[Custo Projetado]]-Tabela914032445692152188200[[#This Row],[Custo Real]]</f>
        <v>0</v>
      </c>
    </row>
    <row r="34" spans="1:9" x14ac:dyDescent="0.2">
      <c r="A34" s="46"/>
      <c r="B34" s="46"/>
      <c r="C34" s="46"/>
      <c r="D34" s="46"/>
      <c r="E34" s="29"/>
      <c r="F34" s="20" t="s">
        <v>36</v>
      </c>
      <c r="G34" s="16"/>
      <c r="H34" s="16"/>
      <c r="I34" s="17">
        <f>Tabela914032445692152188200[[#This Row],[Custo Projetado]]-Tabela914032445692152188200[[#This Row],[Custo Real]]</f>
        <v>0</v>
      </c>
    </row>
    <row r="35" spans="1:9" x14ac:dyDescent="0.2">
      <c r="A35" s="13" t="s">
        <v>56</v>
      </c>
      <c r="B35" s="14" t="s">
        <v>0</v>
      </c>
      <c r="C35" s="14" t="s">
        <v>1</v>
      </c>
      <c r="D35" s="15" t="s">
        <v>2</v>
      </c>
      <c r="E35" s="29"/>
      <c r="F35" s="20" t="s">
        <v>12</v>
      </c>
      <c r="G35" s="16"/>
      <c r="H35" s="16"/>
      <c r="I35" s="17">
        <f>Tabela914032445692152188200[[#This Row],[Custo Projetado]]-Tabela914032445692152188200[[#This Row],[Custo Real]]</f>
        <v>0</v>
      </c>
    </row>
    <row r="36" spans="1:9" x14ac:dyDescent="0.2">
      <c r="A36" s="20" t="s">
        <v>16</v>
      </c>
      <c r="B36" s="16"/>
      <c r="C36" s="16"/>
      <c r="D36" s="17">
        <f>Tabela413527395187147183195[[#This Row],[Custo Projetado]]-Tabela413527395187147183195[[#This Row],[Custo Real]]</f>
        <v>0</v>
      </c>
      <c r="E36" s="29"/>
      <c r="F36" s="13" t="s">
        <v>68</v>
      </c>
      <c r="G36" s="16">
        <f>SUBTOTAL(109,Tabela914032445692152188200[Custo Projetado])</f>
        <v>0</v>
      </c>
      <c r="H36" s="16">
        <f>SUBTOTAL(109,Tabela914032445692152188200[Custo Real])</f>
        <v>0</v>
      </c>
      <c r="I36" s="19">
        <f>SUBTOTAL(109,Tabela914032445692152188200[Diferença])</f>
        <v>0</v>
      </c>
    </row>
    <row r="37" spans="1:9" x14ac:dyDescent="0.2">
      <c r="A37" s="20" t="s">
        <v>17</v>
      </c>
      <c r="B37" s="16"/>
      <c r="C37" s="16"/>
      <c r="D37" s="17">
        <f>Tabela413527395187147183195[[#This Row],[Custo Projetado]]-Tabela413527395187147183195[[#This Row],[Custo Real]]</f>
        <v>0</v>
      </c>
      <c r="E37" s="29"/>
      <c r="F37" s="46"/>
      <c r="G37" s="46"/>
      <c r="H37" s="46"/>
      <c r="I37" s="46"/>
    </row>
    <row r="38" spans="1:9" x14ac:dyDescent="0.2">
      <c r="A38" s="20" t="s">
        <v>18</v>
      </c>
      <c r="B38" s="16"/>
      <c r="C38" s="16"/>
      <c r="D38" s="17">
        <f>Tabela413527395187147183195[[#This Row],[Custo Projetado]]-Tabela413527395187147183195[[#This Row],[Custo Real]]</f>
        <v>0</v>
      </c>
      <c r="E38" s="29"/>
      <c r="F38" s="13" t="s">
        <v>58</v>
      </c>
      <c r="G38" s="14" t="s">
        <v>0</v>
      </c>
      <c r="H38" s="14" t="s">
        <v>1</v>
      </c>
      <c r="I38" s="15" t="s">
        <v>2</v>
      </c>
    </row>
    <row r="39" spans="1:9" x14ac:dyDescent="0.2">
      <c r="A39" s="20" t="s">
        <v>12</v>
      </c>
      <c r="B39" s="16"/>
      <c r="C39" s="16"/>
      <c r="D39" s="17">
        <f>Tabela413527395187147183195[[#This Row],[Custo Projetado]]-Tabela413527395187147183195[[#This Row],[Custo Real]]</f>
        <v>0</v>
      </c>
      <c r="E39" s="29"/>
      <c r="F39" s="20" t="s">
        <v>49</v>
      </c>
      <c r="G39" s="16"/>
      <c r="H39" s="16"/>
      <c r="I39" s="17">
        <f>Tabela1014335475995155191203[[#This Row],[Custo Projetado]]-Tabela1014335475995155191203[[#This Row],[Custo Real]]</f>
        <v>0</v>
      </c>
    </row>
    <row r="40" spans="1:9" x14ac:dyDescent="0.2">
      <c r="A40" s="13" t="s">
        <v>68</v>
      </c>
      <c r="B40" s="16">
        <f>SUBTOTAL(109,Tabela413527395187147183195[Custo Projetado])</f>
        <v>0</v>
      </c>
      <c r="C40" s="16">
        <f>SUBTOTAL(109,Tabela413527395187147183195[Custo Real])</f>
        <v>0</v>
      </c>
      <c r="D40" s="19">
        <f>SUBTOTAL(109,Tabela413527395187147183195[Diferença])</f>
        <v>0</v>
      </c>
      <c r="E40" s="29"/>
      <c r="F40" s="20" t="s">
        <v>50</v>
      </c>
      <c r="G40" s="16"/>
      <c r="H40" s="16"/>
      <c r="I40" s="17">
        <f>Tabela1014335475995155191203[[#This Row],[Custo Projetado]]-Tabela1014335475995155191203[[#This Row],[Custo Real]]</f>
        <v>0</v>
      </c>
    </row>
    <row r="41" spans="1:9" x14ac:dyDescent="0.2">
      <c r="A41" s="46"/>
      <c r="B41" s="46"/>
      <c r="C41" s="46"/>
      <c r="D41" s="46"/>
      <c r="E41" s="29"/>
      <c r="F41" s="20" t="s">
        <v>12</v>
      </c>
      <c r="G41" s="16"/>
      <c r="H41" s="16"/>
      <c r="I41" s="17">
        <f>Tabela1014335475995155191203[[#This Row],[Custo Projetado]]-Tabela1014335475995155191203[[#This Row],[Custo Real]]</f>
        <v>0</v>
      </c>
    </row>
    <row r="42" spans="1:9" x14ac:dyDescent="0.2">
      <c r="A42" s="13" t="s">
        <v>57</v>
      </c>
      <c r="B42" s="14" t="s">
        <v>0</v>
      </c>
      <c r="C42" s="14" t="s">
        <v>1</v>
      </c>
      <c r="D42" s="15" t="s">
        <v>2</v>
      </c>
      <c r="E42" s="29"/>
      <c r="F42" s="13" t="s">
        <v>68</v>
      </c>
      <c r="G42" s="16">
        <f>SUBTOTAL(109,Tabela1014335475995155191203[Custo Projetado])</f>
        <v>0</v>
      </c>
      <c r="H42" s="16">
        <f>SUBTOTAL(109,Tabela1014335475995155191203[Custo Real])</f>
        <v>0</v>
      </c>
      <c r="I42" s="19">
        <f>SUBTOTAL(109,Tabela1014335475995155191203[Diferença])</f>
        <v>0</v>
      </c>
    </row>
    <row r="43" spans="1:9" x14ac:dyDescent="0.2">
      <c r="A43" s="20" t="s">
        <v>19</v>
      </c>
      <c r="B43" s="16"/>
      <c r="C43" s="16"/>
      <c r="D43" s="17">
        <f>Tabela513931435591151187199[[#This Row],[Custo Projetado]]-Tabela513931435591151187199[[#This Row],[Custo Real]]</f>
        <v>0</v>
      </c>
      <c r="E43" s="29"/>
      <c r="F43" s="46"/>
      <c r="G43" s="46"/>
      <c r="H43" s="46"/>
      <c r="I43" s="46"/>
    </row>
    <row r="44" spans="1:9" x14ac:dyDescent="0.2">
      <c r="A44" s="20" t="s">
        <v>27</v>
      </c>
      <c r="B44" s="16">
        <v>400</v>
      </c>
      <c r="C44" s="16"/>
      <c r="D44" s="17">
        <f>Tabela513931435591151187199[[#This Row],[Custo Projetado]]-Tabela513931435591151187199[[#This Row],[Custo Real]]</f>
        <v>400</v>
      </c>
      <c r="E44" s="29"/>
      <c r="F44" s="13" t="s">
        <v>59</v>
      </c>
      <c r="G44" s="14" t="s">
        <v>0</v>
      </c>
      <c r="H44" s="14" t="s">
        <v>1</v>
      </c>
      <c r="I44" s="15" t="s">
        <v>2</v>
      </c>
    </row>
    <row r="45" spans="1:9" x14ac:dyDescent="0.2">
      <c r="A45" s="20" t="s">
        <v>12</v>
      </c>
      <c r="B45" s="16"/>
      <c r="C45" s="16"/>
      <c r="D45" s="17">
        <f>Tabela513931435591151187199[[#This Row],[Custo Projetado]]-Tabela513931435591151187199[[#This Row],[Custo Real]]</f>
        <v>0</v>
      </c>
      <c r="E45" s="29"/>
      <c r="F45" s="20" t="s">
        <v>73</v>
      </c>
      <c r="G45" s="16"/>
      <c r="H45" s="16"/>
      <c r="I45" s="17">
        <f>Tabela1113830425490150186198[[#This Row],[Custo Projetado]]-Tabela1113830425490150186198[[#This Row],[Custo Real]]</f>
        <v>0</v>
      </c>
    </row>
    <row r="46" spans="1:9" x14ac:dyDescent="0.2">
      <c r="A46" s="13" t="s">
        <v>68</v>
      </c>
      <c r="B46" s="16">
        <f>SUBTOTAL(109,Tabela513931435591151187199[Custo Projetado])</f>
        <v>400</v>
      </c>
      <c r="C46" s="16">
        <f>SUBTOTAL(109,Tabela513931435591151187199[Custo Real])</f>
        <v>0</v>
      </c>
      <c r="D46" s="19">
        <f>SUBTOTAL(109,Tabela513931435591151187199[Diferença])</f>
        <v>400</v>
      </c>
      <c r="E46" s="29"/>
      <c r="F46" s="20" t="s">
        <v>74</v>
      </c>
      <c r="G46" s="16"/>
      <c r="H46" s="16"/>
      <c r="I46" s="17">
        <f>Tabela1113830425490150186198[[#This Row],[Custo Projetado]]-Tabela1113830425490150186198[[#This Row],[Custo Real]]</f>
        <v>0</v>
      </c>
    </row>
    <row r="47" spans="1:9" x14ac:dyDescent="0.2">
      <c r="A47" s="46"/>
      <c r="B47" s="46"/>
      <c r="C47" s="46"/>
      <c r="D47" s="46"/>
      <c r="E47" s="29"/>
      <c r="F47" s="20" t="s">
        <v>43</v>
      </c>
      <c r="G47" s="16"/>
      <c r="H47" s="16"/>
      <c r="I47" s="17">
        <f>Tabela1113830425490150186198[[#This Row],[Custo Projetado]]-Tabela1113830425490150186198[[#This Row],[Custo Real]]</f>
        <v>0</v>
      </c>
    </row>
    <row r="48" spans="1:9" x14ac:dyDescent="0.2">
      <c r="A48" s="13" t="s">
        <v>60</v>
      </c>
      <c r="B48" s="14" t="s">
        <v>0</v>
      </c>
      <c r="C48" s="14" t="s">
        <v>1</v>
      </c>
      <c r="D48" s="15" t="s">
        <v>2</v>
      </c>
      <c r="E48" s="29"/>
      <c r="F48" s="13" t="s">
        <v>68</v>
      </c>
      <c r="G48" s="16">
        <f>SUBTOTAL(109,Tabela1113830425490150186198[Custo Projetado])</f>
        <v>0</v>
      </c>
      <c r="H48" s="16">
        <f>SUBTOTAL(109,Tabela1113830425490150186198[Custo Real])</f>
        <v>0</v>
      </c>
      <c r="I48" s="19">
        <f>SUBTOTAL(109,Tabela1113830425490150186198[Diferença])</f>
        <v>0</v>
      </c>
    </row>
    <row r="49" spans="1:9" x14ac:dyDescent="0.2">
      <c r="A49" s="20" t="s">
        <v>20</v>
      </c>
      <c r="B49" s="16"/>
      <c r="C49" s="16"/>
      <c r="D49" s="17">
        <f>Tabela613729415389149185197[[#This Row],[Custo Projetado]]-Tabela613729415389149185197[[#This Row],[Custo Real]]</f>
        <v>0</v>
      </c>
      <c r="E49" s="29"/>
      <c r="F49" s="46"/>
      <c r="G49" s="46"/>
      <c r="H49" s="46"/>
      <c r="I49" s="46"/>
    </row>
    <row r="50" spans="1:9" x14ac:dyDescent="0.2">
      <c r="A50" s="20" t="s">
        <v>22</v>
      </c>
      <c r="B50" s="16"/>
      <c r="C50" s="16"/>
      <c r="D50" s="17">
        <f>Tabela613729415389149185197[[#This Row],[Custo Projetado]]-Tabela613729415389149185197[[#This Row],[Custo Real]]</f>
        <v>0</v>
      </c>
      <c r="E50" s="29"/>
      <c r="F50" s="13" t="s">
        <v>61</v>
      </c>
      <c r="G50" s="14" t="s">
        <v>0</v>
      </c>
      <c r="H50" s="14" t="s">
        <v>1</v>
      </c>
      <c r="I50" s="15" t="s">
        <v>2</v>
      </c>
    </row>
    <row r="51" spans="1:9" x14ac:dyDescent="0.2">
      <c r="A51" s="20" t="s">
        <v>23</v>
      </c>
      <c r="B51" s="16"/>
      <c r="C51" s="16"/>
      <c r="D51" s="17">
        <f>Tabela613729415389149185197[[#This Row],[Custo Projetado]]-Tabela613729415389149185197[[#This Row],[Custo Real]]</f>
        <v>0</v>
      </c>
      <c r="E51" s="29"/>
      <c r="F51" s="20" t="s">
        <v>37</v>
      </c>
      <c r="G51" s="16"/>
      <c r="H51" s="16"/>
      <c r="I51" s="17">
        <f>Tabela1213628405288148184196[[#This Row],[Custo Projetado]]-Tabela1213628405288148184196[[#This Row],[Custo Real]]</f>
        <v>0</v>
      </c>
    </row>
    <row r="52" spans="1:9" x14ac:dyDescent="0.2">
      <c r="A52" s="20" t="s">
        <v>21</v>
      </c>
      <c r="B52" s="16"/>
      <c r="C52" s="16"/>
      <c r="D52" s="17">
        <f>Tabela613729415389149185197[[#This Row],[Custo Projetado]]-Tabela613729415389149185197[[#This Row],[Custo Real]]</f>
        <v>0</v>
      </c>
      <c r="E52" s="29"/>
      <c r="F52" s="20" t="s">
        <v>38</v>
      </c>
      <c r="G52" s="16"/>
      <c r="H52" s="16"/>
      <c r="I52" s="17">
        <f>Tabela1213628405288148184196[[#This Row],[Custo Projetado]]-Tabela1213628405288148184196[[#This Row],[Custo Real]]</f>
        <v>0</v>
      </c>
    </row>
    <row r="53" spans="1:9" x14ac:dyDescent="0.2">
      <c r="A53" s="20" t="s">
        <v>12</v>
      </c>
      <c r="B53" s="16"/>
      <c r="C53" s="16"/>
      <c r="D53" s="17">
        <f>Tabela613729415389149185197[[#This Row],[Custo Projetado]]-Tabela613729415389149185197[[#This Row],[Custo Real]]</f>
        <v>0</v>
      </c>
      <c r="E53" s="29"/>
      <c r="F53" s="20" t="s">
        <v>44</v>
      </c>
      <c r="G53" s="16"/>
      <c r="H53" s="16"/>
      <c r="I53" s="17">
        <f>Tabela1213628405288148184196[[#This Row],[Custo Projetado]]-Tabela1213628405288148184196[[#This Row],[Custo Real]]</f>
        <v>0</v>
      </c>
    </row>
    <row r="54" spans="1:9" x14ac:dyDescent="0.2">
      <c r="A54" s="13" t="s">
        <v>68</v>
      </c>
      <c r="B54" s="16">
        <f>SUBTOTAL(109,Tabela613729415389149185197[Custo Projetado])</f>
        <v>0</v>
      </c>
      <c r="C54" s="16">
        <f>SUBTOTAL(109,Tabela613729415389149185197[Custo Real])</f>
        <v>0</v>
      </c>
      <c r="D54" s="19">
        <f>SUBTOTAL(109,Tabela613729415389149185197[Diferença])</f>
        <v>0</v>
      </c>
      <c r="E54" s="29"/>
      <c r="F54" s="20" t="s">
        <v>12</v>
      </c>
      <c r="G54" s="16"/>
      <c r="H54" s="16"/>
      <c r="I54" s="17">
        <f>Tabela1213628405288148184196[[#This Row],[Custo Projetado]]-Tabela1213628405288148184196[[#This Row],[Custo Real]]</f>
        <v>0</v>
      </c>
    </row>
    <row r="55" spans="1:9" x14ac:dyDescent="0.2">
      <c r="A55" s="46"/>
      <c r="B55" s="46"/>
      <c r="C55" s="46"/>
      <c r="D55" s="46"/>
      <c r="E55" s="29"/>
      <c r="F55" s="13" t="s">
        <v>68</v>
      </c>
      <c r="G55" s="16">
        <f>SUBTOTAL(109,Tabela1213628405288148184196[Custo Projetado])</f>
        <v>0</v>
      </c>
      <c r="H55" s="16">
        <f>SUBTOTAL(109,Tabela1213628405288148184196[Custo Real])</f>
        <v>0</v>
      </c>
      <c r="I55" s="19">
        <f>SUBTOTAL(109,Tabela1213628405288148184196[Diferença])</f>
        <v>0</v>
      </c>
    </row>
    <row r="56" spans="1:9" x14ac:dyDescent="0.2">
      <c r="A56" s="13" t="s">
        <v>62</v>
      </c>
      <c r="B56" s="14" t="s">
        <v>0</v>
      </c>
      <c r="C56" s="14" t="s">
        <v>1</v>
      </c>
      <c r="D56" s="15" t="s">
        <v>2</v>
      </c>
      <c r="E56" s="10"/>
      <c r="F56" s="48"/>
      <c r="G56" s="48"/>
      <c r="H56" s="48"/>
      <c r="I56" s="48"/>
    </row>
    <row r="57" spans="1:9" x14ac:dyDescent="0.2">
      <c r="A57" s="20" t="s">
        <v>22</v>
      </c>
      <c r="B57" s="16"/>
      <c r="C57" s="16"/>
      <c r="D57" s="17">
        <f>Tabela714436486096156192204[[#This Row],[Custo Projetado]]-Tabela714436486096156192204[[#This Row],[Custo Real]]</f>
        <v>0</v>
      </c>
      <c r="E57" s="10"/>
      <c r="F57" s="42" t="s">
        <v>65</v>
      </c>
      <c r="G57" s="42"/>
      <c r="H57" s="42"/>
      <c r="I57" s="43">
        <f>SUM(B21,B33,B40,B46,B54,B64,G20,G29,G36,G42,G48,G55)</f>
        <v>6633</v>
      </c>
    </row>
    <row r="58" spans="1:9" x14ac:dyDescent="0.2">
      <c r="A58" s="20" t="s">
        <v>25</v>
      </c>
      <c r="B58" s="16">
        <v>100</v>
      </c>
      <c r="C58" s="16"/>
      <c r="D58" s="17">
        <f>Tabela714436486096156192204[[#This Row],[Custo Projetado]]-Tabela714436486096156192204[[#This Row],[Custo Real]]</f>
        <v>100</v>
      </c>
      <c r="E58" s="10"/>
      <c r="F58" s="42"/>
      <c r="G58" s="42"/>
      <c r="H58" s="42"/>
      <c r="I58" s="43"/>
    </row>
    <row r="59" spans="1:9" x14ac:dyDescent="0.2">
      <c r="A59" s="20" t="s">
        <v>24</v>
      </c>
      <c r="B59" s="16"/>
      <c r="C59" s="16"/>
      <c r="D59" s="17">
        <f>Tabela714436486096156192204[[#This Row],[Custo Projetado]]-Tabela714436486096156192204[[#This Row],[Custo Real]]</f>
        <v>0</v>
      </c>
      <c r="E59" s="10"/>
      <c r="F59" s="42" t="s">
        <v>66</v>
      </c>
      <c r="G59" s="42"/>
      <c r="H59" s="42"/>
      <c r="I59" s="43">
        <f>SUM(C21,C33,C40,C46,C54,C64,H20,H29,H36,H42,H48,H55)</f>
        <v>0</v>
      </c>
    </row>
    <row r="60" spans="1:9" x14ac:dyDescent="0.2">
      <c r="A60" s="20" t="s">
        <v>33</v>
      </c>
      <c r="B60" s="16">
        <v>150</v>
      </c>
      <c r="C60" s="16"/>
      <c r="D60" s="17">
        <f>Tabela714436486096156192204[[#This Row],[Custo Projetado]]-Tabela714436486096156192204[[#This Row],[Custo Real]]</f>
        <v>150</v>
      </c>
      <c r="E60" s="10"/>
      <c r="F60" s="42"/>
      <c r="G60" s="42"/>
      <c r="H60" s="42"/>
      <c r="I60" s="43"/>
    </row>
    <row r="61" spans="1:9" x14ac:dyDescent="0.2">
      <c r="A61" s="20" t="s">
        <v>26</v>
      </c>
      <c r="B61" s="16"/>
      <c r="C61" s="16"/>
      <c r="D61" s="17">
        <f>Tabela714436486096156192204[[#This Row],[Custo Projetado]]-Tabela714436486096156192204[[#This Row],[Custo Real]]</f>
        <v>0</v>
      </c>
      <c r="E61" s="10"/>
      <c r="F61" s="42" t="s">
        <v>67</v>
      </c>
      <c r="G61" s="42"/>
      <c r="H61" s="42"/>
      <c r="I61" s="43">
        <f>SUM(D21,D33,D40,D46,D54,D64,I20,I29,I36,I42,I48,I55)</f>
        <v>6633</v>
      </c>
    </row>
    <row r="62" spans="1:9" x14ac:dyDescent="0.2">
      <c r="A62" s="20" t="s">
        <v>81</v>
      </c>
      <c r="B62" s="16">
        <v>470</v>
      </c>
      <c r="C62" s="16"/>
      <c r="D62" s="17">
        <f>Tabela714436486096156192204[[#This Row],[Custo Projetado]]-Tabela714436486096156192204[[#This Row],[Custo Real]]</f>
        <v>470</v>
      </c>
      <c r="E62" s="10"/>
      <c r="F62" s="42"/>
      <c r="G62" s="42"/>
      <c r="H62" s="42"/>
      <c r="I62" s="43"/>
    </row>
    <row r="63" spans="1:9" x14ac:dyDescent="0.2">
      <c r="A63" s="20" t="s">
        <v>12</v>
      </c>
      <c r="B63" s="16"/>
      <c r="C63" s="16"/>
      <c r="D63" s="17">
        <f>Tabela714436486096156192204[[#This Row],[Custo Projetado]]-Tabela714436486096156192204[[#This Row],[Custo Real]]</f>
        <v>0</v>
      </c>
    </row>
    <row r="64" spans="1:9" x14ac:dyDescent="0.2">
      <c r="A64" s="13" t="s">
        <v>68</v>
      </c>
      <c r="B64" s="16">
        <f>SUBTOTAL(109,Tabela714436486096156192204[Custo Projetado])</f>
        <v>720</v>
      </c>
      <c r="C64" s="16">
        <f>SUBTOTAL(109,Tabela714436486096156192204[Custo Real])</f>
        <v>0</v>
      </c>
      <c r="D64" s="19">
        <f>SUBTOTAL(109,Tabela714436486096156192204[Diferença])</f>
        <v>720</v>
      </c>
    </row>
  </sheetData>
  <mergeCells count="33">
    <mergeCell ref="I7:I8"/>
    <mergeCell ref="B8:C8"/>
    <mergeCell ref="A1:I1"/>
    <mergeCell ref="A2:C2"/>
    <mergeCell ref="A3:A5"/>
    <mergeCell ref="B3:C3"/>
    <mergeCell ref="F3:H4"/>
    <mergeCell ref="I3:I4"/>
    <mergeCell ref="B4:C4"/>
    <mergeCell ref="B5:C5"/>
    <mergeCell ref="F5:H6"/>
    <mergeCell ref="I5:I6"/>
    <mergeCell ref="A41:D41"/>
    <mergeCell ref="A6:A8"/>
    <mergeCell ref="B6:C6"/>
    <mergeCell ref="B7:C7"/>
    <mergeCell ref="F7:H8"/>
    <mergeCell ref="F21:I21"/>
    <mergeCell ref="A22:D22"/>
    <mergeCell ref="F30:I30"/>
    <mergeCell ref="A34:D34"/>
    <mergeCell ref="F37:I37"/>
    <mergeCell ref="A47:D47"/>
    <mergeCell ref="F49:I49"/>
    <mergeCell ref="A55:D55"/>
    <mergeCell ref="F56:I56"/>
    <mergeCell ref="F57:H58"/>
    <mergeCell ref="I57:I58"/>
    <mergeCell ref="F59:H60"/>
    <mergeCell ref="I59:I60"/>
    <mergeCell ref="F61:H62"/>
    <mergeCell ref="I61:I62"/>
    <mergeCell ref="F43:I43"/>
  </mergeCells>
  <conditionalFormatting sqref="D36:D40 D11:D21 D24:D33 D43:D46 D49:D54 D57:D64 I11:I20 I23:I29 I32:I36 I39:I42 I45:I48 I51:I55">
    <cfRule type="iconSet" priority="1">
      <iconSet iconSet="3Signs">
        <cfvo type="percent" val="0"/>
        <cfvo type="num" val="-20"/>
        <cfvo type="num" val="0"/>
      </iconSet>
    </cfRule>
  </conditionalFormatting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OPM Abr25</vt:lpstr>
      <vt:lpstr>OPM Mai25</vt:lpstr>
      <vt:lpstr>OMP jun25</vt:lpstr>
      <vt:lpstr>OMP  Jul25</vt:lpstr>
      <vt:lpstr>OMP  Ago25</vt:lpstr>
      <vt:lpstr>OMP Set25</vt:lpstr>
      <vt:lpstr>OMP Out25</vt:lpstr>
      <vt:lpstr>OMP Dez25 (2)</vt:lpstr>
      <vt:lpstr>OMP Dez25</vt:lpstr>
      <vt:lpstr>OMP Jan26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Gutemberg Santos Silva</dc:creator>
  <cp:keywords/>
  <dc:description/>
  <cp:lastModifiedBy>Gutemberg Santos Silva</cp:lastModifiedBy>
  <dcterms:created xsi:type="dcterms:W3CDTF">2002-11-14T18:47:55Z</dcterms:created>
  <dcterms:modified xsi:type="dcterms:W3CDTF">2025-03-21T19:19:07Z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1046</vt:i4>
  </property>
  <property fmtid="{D5CDD505-2E9C-101B-9397-08002B2CF9AE}" pid="3" name="_Version">
    <vt:lpwstr>0908</vt:lpwstr>
  </property>
</Properties>
</file>